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Rpbp/XK1DgHPdh81HizfK7stu4w0l+5YrXqVc6SWJIgJxysgaHljtkTIRzq4KNCA7iSuOYxJQEbNrCResvmCVg==" workbookSaltValue="MG1vzs6GxaGlrvPBkgWS7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1" i="17"/>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H12" i="16"/>
  <c r="BJ16" i="11"/>
  <c r="BK10" i="11"/>
  <c r="BL16" i="11"/>
  <c r="T13" i="20"/>
  <c r="BF15"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BG10" i="8"/>
  <c r="BF9" i="8"/>
  <c r="B9" i="6"/>
  <c r="BM9" i="11"/>
  <c r="S17" i="17"/>
  <c r="BG16" i="11"/>
  <c r="BH11" i="11"/>
  <c r="BK16" i="11"/>
  <c r="BJ10" i="11"/>
  <c r="BL10" i="11"/>
  <c r="BL15" i="11"/>
  <c r="BF12" i="11"/>
  <c r="P15" i="17"/>
  <c r="S15" i="16"/>
  <c r="X17" i="17"/>
  <c r="AZ11" i="11"/>
  <c r="AZ16" i="11"/>
  <c r="BU12" i="17"/>
  <c r="S11" i="17"/>
  <c r="BU17" i="17"/>
  <c r="BV10" i="16"/>
  <c r="BU9" i="17"/>
  <c r="BW15" i="20"/>
  <c r="BV15" i="16"/>
  <c r="BW16" i="20"/>
  <c r="BV16" i="16"/>
  <c r="BV17" i="16"/>
  <c r="AZ15" i="11"/>
  <c r="AZ18" i="11" s="1"/>
  <c r="BK17" i="11"/>
  <c r="BJ12" i="11"/>
  <c r="BM12" i="11"/>
  <c r="BF10" i="11"/>
  <c r="BM16" i="11"/>
  <c r="BH11" i="16"/>
  <c r="AL16" i="11"/>
  <c r="C16" i="6"/>
  <c r="BE9" i="13"/>
  <c r="AZ9" i="11"/>
  <c r="AZ13" i="11" s="1"/>
  <c r="R17" i="20"/>
  <c r="R18" i="20" s="1"/>
  <c r="AP15" i="20"/>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<sst xmlns="http://schemas.openxmlformats.org/spreadsheetml/2006/main" count="2102" uniqueCount="918">
  <si>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</si>
  <si>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</si>
  <si>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</si>
  <si>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</si>
  <si>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</si>
  <si>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</si>
  <si>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</si>
  <si>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</si>
  <si>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</si>
  <si>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</si>
  <si>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</si>
  <si>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</si>
  <si>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</si>
  <si>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</si>
  <si>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</si>
  <si>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</si>
  <si>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</si>
  <si>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</si>
  <si>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</si>
  <si>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</si>
  <si>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</si>
  <si>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</si>
  <si>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</si>
  <si>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</si>
  <si>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</si>
  <si>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</si>
  <si>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</si>
  <si>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</si>
  <si>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</si>
  <si>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</si>
  <si>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</si>
  <si>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</si>
  <si>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</si>
  <si>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</si>
  <si>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</si>
  <si>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</si>
  <si>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</si>
  <si>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</si>
  <si>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</si>
  <si>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</si>
  <si>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</si>
  <si>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</si>
  <si>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</si>
  <si>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</si>
  <si>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</si>
  <si>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</si>
  <si>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</si>
  <si>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</si>
  <si>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</si>
  <si>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</si>
  <si>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</si>
  <si>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</si>
  <si>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</si>
  <si>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</si>
  <si>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</si>
  <si>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</si>
  <si>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</si>
  <si>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</si>
  <si>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</si>
  <si>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</si>
  <si>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</si>
  <si>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</si>
  <si>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</si>
  <si>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</si>
  <si>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</si>
  <si>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</si>
  <si>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</si>
  <si>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</si>
  <si>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</si>
  <si>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</si>
  <si>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</si>
  <si>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</si>
  <si>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</si>
  <si>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</si>
  <si>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</si>
  <si>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</si>
  <si>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</si>
  <si>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</si>
  <si>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</si>
  <si>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</si>
  <si>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</si>
  <si>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</si>
  <si>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</si>
  <si>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</si>
  <si>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</si>
  <si>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</si>
  <si>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</si>
  <si>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</si>
  <si>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</si>
  <si>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</si>
  <si>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</si>
  <si>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</si>
  <si>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</si>
  <si>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</si>
  <si>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</si>
  <si>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</si>
  <si>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</si>
  <si>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</si>
  <si>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</si>
  <si>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</si>
  <si>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</si>
  <si>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</si>
  <si>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</si>
  <si>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</si>
  <si>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</si>
  <si>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</si>
  <si>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</si>
  <si>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</si>
  <si>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</si>
  <si>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</si>
  <si>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</si>
  <si>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</si>
  <si>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</si>
  <si>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</si>
  <si>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</si>
  <si>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</si>
  <si>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</si>
  <si>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</si>
  <si>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</si>
  <si>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</si>
  <si>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</si>
  <si>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</si>
  <si>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</si>
  <si>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</si>
  <si>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</si>
  <si>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</si>
  <si>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</si>
  <si>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</si>
  <si>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</si>
  <si>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</si>
  <si>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</si>
  <si>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</si>
  <si>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</si>
  <si>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</si>
  <si>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</si>
  <si>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</si>
  <si>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</si>
  <si>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</si>
  <si>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</si>
  <si>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</si>
  <si>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</si>
  <si>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</si>
  <si>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</si>
  <si>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</si>
  <si>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</si>
  <si>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</si>
  <si>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</si>
  <si>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</si>
  <si>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</si>
  <si>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</si>
  <si>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</si>
  <si>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</si>
  <si>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</si>
  <si>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</si>
  <si>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</si>
  <si>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</si>
  <si>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</si>
  <si>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</si>
  <si>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</si>
  <si>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</si>
  <si>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</si>
  <si>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</si>
  <si>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</si>
  <si>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</si>
  <si>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</si>
  <si>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</si>
  <si>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</si>
  <si>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</si>
  <si>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</si>
  <si>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</si>
  <si>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</si>
  <si>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</si>
  <si>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</si>
  <si>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</si>
  <si>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</si>
  <si>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</si>
  <si>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</si>
  <si>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</si>
  <si>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</si>
  <si>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</si>
  <si>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</si>
  <si>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</si>
  <si>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</si>
  <si>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</si>
  <si>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</si>
  <si>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</si>
  <si>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</si>
  <si>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</si>
  <si>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</si>
  <si>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</si>
  <si>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</si>
  <si>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</si>
  <si>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</si>
  <si>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</si>
  <si>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</si>
  <si>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</si>
  <si>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</si>
  <si>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</si>
  <si>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</si>
  <si>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</si>
  <si>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</si>
  <si>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</si>
  <si>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</si>
  <si>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</si>
  <si>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</si>
  <si>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</si>
  <si>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</si>
  <si>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</si>
  <si>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</si>
  <si>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</si>
  <si>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</si>
  <si>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</si>
  <si>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</si>
  <si>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</si>
  <si>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</si>
  <si>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</si>
  <si>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</si>
  <si>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</si>
  <si>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</si>
  <si>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</si>
  <si>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</si>
  <si>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</si>
  <si>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</si>
  <si>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</si>
  <si>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</si>
  <si>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</si>
  <si>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</si>
  <si>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</si>
  <si>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</si>
  <si>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</si>
  <si>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</si>
  <si>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</si>
  <si>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</si>
  <si>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</si>
  <si>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</si>
  <si>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</si>
  <si>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</si>
  <si>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</si>
  <si>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</si>
  <si>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</si>
  <si>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</si>
  <si>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</si>
  <si>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</si>
  <si>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</si>
  <si>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</si>
  <si>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</si>
  <si>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</si>
  <si>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</si>
  <si>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</si>
  <si>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</si>
  <si>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</si>
  <si>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</si>
  <si>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</si>
  <si>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</si>
  <si>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</si>
  <si>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</si>
  <si>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</si>
  <si>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</si>
  <si>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</si>
  <si>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</si>
  <si>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</si>
  <si>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</si>
  <si>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</si>
  <si>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</si>
  <si>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</si>
  <si>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</si>
  <si>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</si>
  <si>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</si>
  <si>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</si>
  <si>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</si>
  <si>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</si>
  <si>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</si>
  <si>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</si>
  <si>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</si>
  <si>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</si>
  <si>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</si>
  <si>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</si>
  <si>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</si>
  <si>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</si>
  <si>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</si>
  <si>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</si>
  <si>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</si>
  <si>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</si>
  <si>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</si>
  <si>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</si>
  <si>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</si>
  <si>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</si>
  <si>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</si>
  <si>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</si>
  <si>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</si>
  <si>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</si>
  <si>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</si>
  <si>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</si>
  <si>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</si>
  <si>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</si>
  <si>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</si>
  <si>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</si>
  <si>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</si>
  <si>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</si>
  <si>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</si>
  <si>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</si>
  <si>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</si>
  <si>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</si>
  <si>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</si>
  <si>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</si>
  <si>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</si>
  <si>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</si>
  <si>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</si>
  <si>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</si>
  <si>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</si>
  <si>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</si>
  <si>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</si>
  <si>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</si>
  <si>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</si>
  <si>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</si>
  <si>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</si>
  <si>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</si>
  <si>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</si>
  <si>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</si>
  <si>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</si>
  <si>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</si>
  <si>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</si>
  <si>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</si>
  <si>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</si>
  <si>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</si>
  <si>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</si>
  <si>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</si>
  <si>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</si>
  <si>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</si>
  <si>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</si>
  <si>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</si>
  <si>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</si>
  <si>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</si>
  <si>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</si>
  <si>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</si>
  <si>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</si>
  <si>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</si>
  <si>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</si>
  <si>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</si>
  <si>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</si>
  <si>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</si>
  <si>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</si>
  <si>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</si>
  <si>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</si>
  <si>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</si>
  <si>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</si>
  <si>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</si>
  <si>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</si>
  <si>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</si>
  <si>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</si>
  <si>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</si>
  <si>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</si>
  <si>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</si>
  <si>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</si>
  <si>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</si>
  <si>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</si>
  <si>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</si>
  <si>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</si>
  <si>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</si>
  <si>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</si>
  <si>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</si>
  <si>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</si>
  <si>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</si>
  <si>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</si>
  <si>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</si>
  <si>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</si>
  <si>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</si>
  <si>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</si>
  <si>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</si>
  <si>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</si>
  <si>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</si>
  <si>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</si>
  <si>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</si>
  <si>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</si>
  <si>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</si>
  <si>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</si>
  <si>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</si>
  <si>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</si>
  <si>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</si>
  <si>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</si>
  <si>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</si>
  <si>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</si>
  <si>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</si>
  <si>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</si>
  <si>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</si>
  <si>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</si>
  <si>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</si>
  <si>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</si>
  <si>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</si>
  <si>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</si>
  <si>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</si>
  <si>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</si>
  <si>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</si>
  <si>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</si>
  <si>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</si>
  <si>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</si>
  <si>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</si>
  <si>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</si>
  <si>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</si>
  <si>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</si>
  <si>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</si>
  <si>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</si>
  <si>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</si>
  <si>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</si>
  <si>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</si>
  <si>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</si>
  <si>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</si>
  <si>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</si>
  <si>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</si>
  <si>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</si>
  <si>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</si>
  <si>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</si>
  <si>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</si>
  <si>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</si>
  <si>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</si>
  <si>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</si>
  <si>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</si>
  <si>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</si>
  <si>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</si>
  <si>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</si>
  <si>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</si>
  <si>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</si>
  <si>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</si>
  <si>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</si>
  <si>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</si>
  <si>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</si>
  <si>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</si>
  <si>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</si>
  <si>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</si>
  <si>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</si>
  <si>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</si>
  <si>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</si>
  <si>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</si>
  <si>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</si>
  <si>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</si>
  <si>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</si>
  <si>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</si>
  <si>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</si>
  <si>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</si>
  <si>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</si>
  <si>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</si>
  <si>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</si>
  <si>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</si>
  <si>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</si>
  <si>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</si>
  <si>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</si>
  <si>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</si>
  <si>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</si>
  <si>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</si>
  <si>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</si>
  <si>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</si>
  <si>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</si>
  <si>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</si>
  <si>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</si>
  <si>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</si>
  <si>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</si>
  <si>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</si>
  <si>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</si>
  <si>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</si>
  <si>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</si>
  <si>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</si>
  <si>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</si>
  <si>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</si>
  <si>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</si>
  <si>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</si>
  <si>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</si>
  <si>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</si>
  <si>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</si>
  <si>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</si>
  <si>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</si>
  <si>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</si>
  <si>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</si>
  <si>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</si>
  <si>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</si>
  <si>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</si>
  <si>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</si>
  <si>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</si>
  <si>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</si>
  <si>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</si>
  <si>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</si>
  <si>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</si>
  <si>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</si>
  <si>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</si>
  <si>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</si>
  <si>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</si>
  <si>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</si>
  <si>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</si>
  <si>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</si>
  <si>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</si>
  <si>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</si>
  <si>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</si>
  <si>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</si>
  <si>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</si>
  <si>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</si>
  <si>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</si>
  <si>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</si>
  <si>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</si>
  <si>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</si>
  <si>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</si>
  <si>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</si>
  <si>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</si>
  <si>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</si>
  <si>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</si>
  <si>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</si>
  <si>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</si>
  <si>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</si>
  <si>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</si>
  <si>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</si>
  <si>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</si>
  <si>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</si>
  <si>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</si>
  <si>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</si>
  <si>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</si>
  <si>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</si>
  <si>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</si>
  <si>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</si>
  <si>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</si>
  <si>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</si>
  <si>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</si>
  <si>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</si>
  <si>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</si>
  <si>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</si>
  <si>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</si>
  <si>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</si>
  <si>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</si>
  <si>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</si>
  <si>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</si>
  <si>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</si>
  <si>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</si>
  <si>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</si>
  <si>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</si>
  <si>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</si>
  <si>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</si>
  <si>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</si>
  <si>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</si>
  <si>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</si>
  <si>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</si>
  <si>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</si>
  <si>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</si>
  <si>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</si>
  <si>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</si>
  <si>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</si>
  <si>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</si>
  <si>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</si>
  <si>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</si>
  <si>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</si>
  <si>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</si>
  <si>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</si>
  <si>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</si>
  <si>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</si>
  <si>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</si>
  <si>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</si>
  <si>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</si>
  <si>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</si>
  <si>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</si>
  <si>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</si>
  <si>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</si>
  <si>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</si>
  <si>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</si>
  <si>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</si>
  <si>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</si>
  <si>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</si>
  <si>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</si>
  <si>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</si>
  <si>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</si>
  <si>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</si>
  <si>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</si>
  <si>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</si>
  <si>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</si>
  <si>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</si>
  <si>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</si>
  <si>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</si>
  <si>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</si>
  <si>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</si>
  <si>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</si>
  <si>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</si>
  <si>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</si>
  <si>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</si>
  <si>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</si>
  <si>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</si>
  <si>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</si>
  <si>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</si>
  <si>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</si>
  <si>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</si>
  <si>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</si>
  <si>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</si>
  <si>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</si>
  <si>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</si>
  <si>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</si>
  <si>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</si>
  <si>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</si>
  <si>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</si>
  <si>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</si>
  <si>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</si>
  <si>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</si>
  <si>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</si>
  <si>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</si>
  <si>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</si>
  <si>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</si>
  <si>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</si>
  <si>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</si>
  <si>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</si>
  <si>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</si>
  <si>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</si>
  <si>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</si>
  <si>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</si>
  <si>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</si>
  <si>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</si>
  <si>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</si>
  <si>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</si>
  <si>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</si>
  <si>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</si>
  <si>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</si>
  <si>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</si>
  <si>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</si>
  <si>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</si>
  <si>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</si>
  <si>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</si>
  <si>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</si>
  <si>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</si>
  <si>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</si>
  <si>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</si>
  <si>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</si>
  <si>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</si>
  <si>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</si>
  <si>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</si>
  <si>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</si>
  <si>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</si>
  <si>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</si>
  <si>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</si>
  <si>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</si>
  <si>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</si>
  <si>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</si>
  <si>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</si>
  <si>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</si>
  <si>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</si>
  <si>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</si>
  <si>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</si>
  <si>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</si>
  <si>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</si>
  <si>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</si>
  <si>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</si>
  <si>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</si>
  <si>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</si>
  <si>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</si>
  <si>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</si>
  <si>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</si>
  <si>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</si>
  <si>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</si>
  <si>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</si>
  <si>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</si>
  <si>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</si>
  <si>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</si>
  <si>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</si>
  <si>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</si>
  <si>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</si>
  <si>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</si>
  <si>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</si>
  <si>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</si>
  <si>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</si>
  <si>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</si>
  <si>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</si>
  <si>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</si>
  <si>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</si>
  <si>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</si>
  <si>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</si>
  <si>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</si>
  <si>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</si>
  <si>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</si>
  <si>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</si>
  <si>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</si>
  <si>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</si>
  <si>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</si>
  <si>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</si>
  <si>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</si>
  <si>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</si>
  <si>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</si>
  <si>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</si>
  <si>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</si>
  <si>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</si>
  <si>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</si>
  <si>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</si>
  <si>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</si>
  <si>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</si>
  <si>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</si>
  <si>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</si>
  <si>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</si>
  <si>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</si>
  <si>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</si>
  <si>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</si>
  <si>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</si>
  <si>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</si>
  <si>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</si>
  <si>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</si>
  <si>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</si>
  <si>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</si>
  <si>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</si>
  <si>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</si>
  <si>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</si>
  <si>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</si>
  <si>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</si>
  <si>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</si>
  <si>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</si>
  <si>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</si>
  <si>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</si>
  <si>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</si>
  <si>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</si>
  <si>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</si>
  <si>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</si>
  <si>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</si>
  <si>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</si>
  <si>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</si>
  <si>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</si>
  <si>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</si>
  <si>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</si>
  <si>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</si>
  <si>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</si>
  <si>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</si>
  <si>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</si>
  <si>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</si>
  <si>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</si>
  <si>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</si>
  <si>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</si>
  <si>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</si>
  <si>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</si>
  <si>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</si>
  <si>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</si>
  <si>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</si>
  <si>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</si>
  <si>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</si>
  <si>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</si>
  <si>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</si>
  <si>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</si>
  <si>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</si>
  <si>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</si>
  <si>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</si>
  <si>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</si>
  <si>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</si>
  <si>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</si>
  <si>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</si>
  <si>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</si>
  <si>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</si>
  <si>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</si>
  <si>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</si>
  <si>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</si>
  <si>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</si>
  <si>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</si>
  <si>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</si>
  <si>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</si>
  <si>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</si>
  <si>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</si>
  <si>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</si>
  <si>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</si>
  <si>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</si>
  <si>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</si>
  <si>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</si>
  <si>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</si>
  <si>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</si>
  <si>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</si>
  <si>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</si>
  <si>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</si>
  <si>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</si>
  <si>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</si>
  <si>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</si>
  <si>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</si>
  <si>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</si>
  <si>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</si>
  <si>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</si>
  <si>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</si>
  <si>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</si>
  <si>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</si>
  <si>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</si>
  <si>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</si>
  <si>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</si>
  <si>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</si>
  <si>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</si>
  <si>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</si>
  <si>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</si>
  <si>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</si>
  <si>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</si>
  <si>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</si>
  <si>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</si>
  <si>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</si>
  <si>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</si>
  <si>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</si>
  <si>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</si>
  <si>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</si>
  <si>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</si>
  <si>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</si>
  <si>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</si>
  <si>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</si>
  <si>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</si>
  <si>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</si>
  <si>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</si>
  <si>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</si>
  <si>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</si>
  <si>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</si>
  <si>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</si>
  <si>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</si>
  <si>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</si>
  <si>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</si>
  <si>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</si>
  <si>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</si>
  <si>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</si>
  <si>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</si>
  <si>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</si>
  <si>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</si>
  <si>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</si>
  <si>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</si>
  <si>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</si>
  <si>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</si>
  <si>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</si>
  <si>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</si>
  <si>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</si>
  <si>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</si>
  <si>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</si>
  <si>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</si>
  <si>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</si>
  <si>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</si>
  <si>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</si>
  <si>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</si>
  <si>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</si>
  <si>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</si>
  <si>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</si>
  <si>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</si>
  <si>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</si>
  <si>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</si>
  <si>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</si>
  <si>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</si>
  <si>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</si>
  <si>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</si>
  <si>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</si>
  <si>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</si>
  <si>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</si>
  <si>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</si>
  <si>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</si>
  <si>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</si>
  <si>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</si>
  <si>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</si>
  <si>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</si>
  <si>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</si>
  <si>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</si>
  <si>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</si>
  <si>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</si>
  <si>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</si>
  <si>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</si>
  <si>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</si>
  <si>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</si>
  <si>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</si>
  <si>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</si>
  <si>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</si>
  <si>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</si>
  <si>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</si>
  <si>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</si>
  <si>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</si>
  <si>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</si>
  <si>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</si>
  <si>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</si>
  <si>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</si>
  <si>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</si>
  <si>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</si>
  <si>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</si>
  <si>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</si>
  <si>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</si>
  <si>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</si>
  <si>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</si>
  <si>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</si>
  <si>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</si>
  <si>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</si>
  <si>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</si>
  <si>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</si>
  <si>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</si>
  <si>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</si>
  <si>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</si>
  <si>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</si>
  <si>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</si>
  <si>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</si>
  <si>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</si>
  <si>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</si>
  <si>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</si>
  <si>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</si>
  <si>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</si>
  <si>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</si>
  <si>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</si>
  <si>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</si>
  <si>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</si>
  <si>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</si>
  <si>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</si>
  <si>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</si>
  <si>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</si>
  <si>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</si>
  <si>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</si>
  <si>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</si>
  <si>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</si>
  <si>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</si>
  <si>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</si>
  <si>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</si>
  <si>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</si>
  <si>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</si>
  <si>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</si>
  <si>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</si>
  <si>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</si>
  <si>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</si>
  <si>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</si>
  <si>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</si>
  <si>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</si>
  <si>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</si>
  <si>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</si>
  <si>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</si>
  <si>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</si>
  <si>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</si>
  <si>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</si>
  <si>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</si>
  <si>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</si>
  <si>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</si>
  <si>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MALAGA</t>
  </si>
  <si>
    <t>Resumenes por Partidos Judiciales</t>
  </si>
  <si>
    <t>TORREMOLINOS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</si>
</sst>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Tqo2VIeM1/nwRccagh+D7H4Hx7neOWWojf2fZbtdce87Z6KZWVlj0c8dr354A6YxyKKEsTXVGGmI4/6OLwTQQ==" saltValue="yhdwkhmVcuI+RnMnAOs2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44.413704276146319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193</v>
      </c>
      <c r="D10" s="225">
        <f>IF(ISNUMBER(Datos!I10),Datos!I10," - ")</f>
        <v>197</v>
      </c>
      <c r="E10" s="226">
        <f>IF(ISNUMBER(Datos!J10),Datos!J10," - ")</f>
        <v>27</v>
      </c>
      <c r="F10" s="226">
        <f>IF(ISNUMBER(Datos!K10),Datos!K10," - ")</f>
        <v>14</v>
      </c>
      <c r="G10" s="1034" t="str">
        <f>IF(Datos!E10&lt;&gt;"",Datos!E10,Datos!D10)</f>
        <v>37</v>
      </c>
      <c r="H10" s="227">
        <f>IF(ISNUMBER(Datos!L10),Datos!L10," - ")</f>
        <v>206</v>
      </c>
      <c r="I10" s="1044" t="str">
        <f>IF(ISNUMBER(Datos!AS10/Datos!BM10),Datos!AS10/Datos!BM10," - ")</f>
        <v xml:space="preserve"> - </v>
      </c>
      <c r="J10" s="1045">
        <f>IF(ISNUMBER(Datos!BY10/Datos!CN10),Datos!BY10/Datos!CN10," - ")</f>
        <v>0</v>
      </c>
      <c r="K10" s="230">
        <f t="shared" ref="K10:K12" si="1">IF(ISNUMBER((E10-F10)/C10),(E10-F10)/C10," - ")</f>
        <v>6.7357512953367879E-2</v>
      </c>
      <c r="L10" s="1025">
        <f>IF(ISNUMBER(NºAsuntos!I10/NºAsuntos!G10),(NºAsuntos!I10/NºAsuntos!G10)*11," - ")</f>
        <v>161.85714285714286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193</v>
      </c>
      <c r="D13" s="1049">
        <f>SUBTOTAL(9,D9:D12)</f>
        <v>197</v>
      </c>
      <c r="E13" s="1050">
        <f>SUBTOTAL(9,E9:E12)</f>
        <v>27</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2619</v>
      </c>
      <c r="D15" s="225">
        <f>IF(ISNUMBER(IF(D_I="SI",Datos!I15,Datos!I15+Datos!AC15)),IF(D_I="SI",Datos!I15,Datos!I15+Datos!AC15)," - ")</f>
        <v>2582</v>
      </c>
      <c r="E15" s="226">
        <f>IF(ISNUMBER(IF(D_I="SI",Datos!J15,Datos!J15+Datos!AD15)),IF(D_I="SI",Datos!J15,Datos!J15+Datos!AD15)," - ")</f>
        <v>2792</v>
      </c>
      <c r="F15" s="226">
        <f>IF(ISNUMBER(IF(D_I="SI",Datos!K15,Datos!K15+Datos!AE15)),IF(D_I="SI",Datos!K15,Datos!K15+Datos!AE15)," - ")</f>
        <v>2634</v>
      </c>
      <c r="G15" s="1034" t="str">
        <f>IF(Datos!E15&lt;&gt;"",Datos!E15,Datos!D15)</f>
        <v>03</v>
      </c>
      <c r="H15" s="227">
        <f>IF(ISNUMBER(IF(D_I="SI",Datos!L15,Datos!L15+Datos!AF15)),IF(D_I="SI",Datos!L15,Datos!L15+Datos!AF15)," - ")</f>
        <v>2777</v>
      </c>
      <c r="I15" s="1044" t="str">
        <f>IF(ISNUMBER(Datos!AS15/Datos!BM15),Datos!AS15/Datos!BM15," - ")</f>
        <v xml:space="preserve"> - </v>
      </c>
      <c r="J15" s="1045">
        <f>IF(ISNUMBER(Datos!BY15/Datos!CN15),Datos!BY15/Datos!CN15," - ")</f>
        <v>0</v>
      </c>
      <c r="K15" s="230">
        <f t="shared" ref="K15:K17" si="3">IF(ISNUMBER((E15-F15)/C15),(E15-F15)/C15," - ")</f>
        <v>6.0328369606720125E-2</v>
      </c>
      <c r="L15" s="1025">
        <f>IF(ISNUMBER(NºAsuntos!I15/NºAsuntos!G15),(NºAsuntos!I15/NºAsuntos!G15)*11," - ")</f>
        <v>11.597190584662112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535</v>
      </c>
      <c r="D17" s="225">
        <f>IF(ISNUMBER(IF(D_I="SI",Datos!I17,Datos!I17+Datos!AC17)),IF(D_I="SI",Datos!I17,Datos!I17+Datos!AC17)," - ")</f>
        <v>516</v>
      </c>
      <c r="E17" s="226">
        <f>IF(ISNUMBER(IF(D_I="SI",Datos!J17,Datos!J17+Datos!AD17)),IF(D_I="SI",Datos!J17,Datos!J17+Datos!AD17)," - ")</f>
        <v>312</v>
      </c>
      <c r="F17" s="226">
        <f>IF(ISNUMBER(IF(D_I="SI",Datos!K17,Datos!K17+Datos!AE17)),IF(D_I="SI",Datos!K17,Datos!K17+Datos!AE17)," - ")</f>
        <v>223</v>
      </c>
      <c r="G17" s="1034" t="str">
        <f>IF(Datos!E17&lt;&gt;"",Datos!E17,Datos!D17)</f>
        <v>37</v>
      </c>
      <c r="H17" s="227">
        <f>IF(ISNUMBER(IF(D_I="SI",Datos!L17,Datos!L17+Datos!AF17)),IF(D_I="SI",Datos!L17,Datos!L17+Datos!AF17)," - ")</f>
        <v>624</v>
      </c>
      <c r="I17" s="1044" t="str">
        <f>IF(ISNUMBER(Datos!AS17/Datos!BM17),Datos!AS17/Datos!BM17," - ")</f>
        <v xml:space="preserve"> - </v>
      </c>
      <c r="J17" s="1045" t="str">
        <f>IF(ISNUMBER((Datos!BY17+Datos!BZ17)/Datos!CN17),(Datos!BY17+Datos!BZ17)/Datos!CN17," - ")</f>
        <v xml:space="preserve"> - </v>
      </c>
      <c r="K17" s="230">
        <f t="shared" si="3"/>
        <v>0.16635514018691588</v>
      </c>
      <c r="L17" s="1025">
        <f>IF(ISNUMBER(NºAsuntos!I17/NºAsuntos!G17),(NºAsuntos!I17/NºAsuntos!G17)*11," - ")</f>
        <v>30.780269058295964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3154</v>
      </c>
      <c r="D18" s="1049">
        <f>SUBTOTAL(9,D15:D17)</f>
        <v>3098</v>
      </c>
      <c r="E18" s="1050">
        <f>SUBTOTAL(9,E15:E17)</f>
        <v>3104</v>
      </c>
      <c r="F18" s="1050">
        <f>SUBTOTAL(9,F15:F17)</f>
        <v>2857</v>
      </c>
      <c r="G18" s="1052" t="str">
        <f ca="1">INDIRECT(CONCATENATE("G",ROW()-1))</f>
        <v>37</v>
      </c>
      <c r="H18" s="1053">
        <f ca="1">SUMIF(G$14:G17,G18,H$14:H17)</f>
        <v>624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3347</v>
      </c>
      <c r="D19" s="1071">
        <f>SUBTOTAL(9,D9:D18)</f>
        <v>3295</v>
      </c>
      <c r="E19" s="1072">
        <f>SUBTOTAL(9,E9:E18)</f>
        <v>3131</v>
      </c>
      <c r="F19" s="1072">
        <f>SUBTOTAL(9,F9:F18)</f>
        <v>2871</v>
      </c>
      <c r="G19" s="1073"/>
      <c r="H19" s="1074">
        <f ca="1">SUMIF(B9:B18,"TOTAL",H9:H18)</f>
        <v>624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GwJFKWYcQv0VlQ0v8AjeLpTq3zlgwNs/XRdv8n4/1cqWciPJiUhzjq+LHWtr29XiperWtho8PSxng0rPKRqUQ==" saltValue="t5KYBXEHXJ1xDPUhUSCoq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81PzIuqlVwM/GLzxNAGPisRkZQ2VE5qNXyx/EoVtyB8qM6Gku+tqYe1LnaO9rDcmU/4NBJ0lVoYG+nsdqRyiQ==" saltValue="0irA9wpRx5kk9q4HGH22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7553</v>
      </c>
      <c r="J9" s="181">
        <v>2015</v>
      </c>
      <c r="K9" s="181">
        <v>1856</v>
      </c>
      <c r="L9" s="181">
        <v>7708</v>
      </c>
      <c r="M9" s="181">
        <v>510</v>
      </c>
      <c r="N9" s="181">
        <v>780</v>
      </c>
      <c r="O9" s="181">
        <v>853</v>
      </c>
      <c r="P9" s="181">
        <v>350</v>
      </c>
      <c r="Q9" s="181">
        <v>337</v>
      </c>
      <c r="R9" s="181">
        <v>6837</v>
      </c>
      <c r="S9" s="181">
        <v>6569</v>
      </c>
      <c r="T9" s="181">
        <v>1622</v>
      </c>
      <c r="U9" s="181">
        <v>1510</v>
      </c>
      <c r="V9" s="181">
        <v>6681</v>
      </c>
      <c r="W9" s="181">
        <v>337</v>
      </c>
      <c r="X9" s="188">
        <v>680</v>
      </c>
      <c r="Y9" s="191">
        <v>132</v>
      </c>
      <c r="Z9" s="181">
        <v>84</v>
      </c>
      <c r="AA9" s="181">
        <v>85</v>
      </c>
      <c r="AB9" s="181">
        <v>129</v>
      </c>
      <c r="AC9" s="181">
        <v>0</v>
      </c>
      <c r="AD9" s="181">
        <v>0</v>
      </c>
      <c r="AE9" s="181">
        <v>0</v>
      </c>
      <c r="AF9" s="188">
        <v>0</v>
      </c>
      <c r="AG9" s="191">
        <v>137</v>
      </c>
      <c r="AH9" s="181">
        <v>117</v>
      </c>
      <c r="AI9" s="181">
        <v>117</v>
      </c>
      <c r="AJ9" s="192">
        <v>137</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6706</v>
      </c>
      <c r="AZ9" s="123">
        <f>IF(ISNUMBER(IF(J_V="SI",T9,T9+AH9)),IF(J_V="SI",T9,T9+AH9)," - ")</f>
        <v>1739</v>
      </c>
      <c r="BA9" s="124">
        <f>IF(ISNUMBER(IF(J_V="SI",U9,U9+AI9)),IF(J_V="SI",U9,U9+AI9)," - ")</f>
        <v>1627</v>
      </c>
      <c r="BB9" s="124">
        <f>IF(ISNUMBER(IF(J_V="SI",V9,V9+AJ9)),IF(J_V="SI",V9,V9+AJ9)," - ")</f>
        <v>6818</v>
      </c>
      <c r="BC9" s="125">
        <f>IF(ISNUMBER(X9),X9," - ")</f>
        <v>680</v>
      </c>
      <c r="BD9" s="126">
        <f>IF(ISNUMBER(BA9/AZ9),BA9/AZ9," - ")</f>
        <v>0.93559516963772282</v>
      </c>
      <c r="BE9" s="127">
        <f>IF(ISNUMBER(BB9/BA9),BB9/BA9, " - ")</f>
        <v>4.1905347264904735</v>
      </c>
      <c r="BF9" s="127">
        <f>IF(ISNUMBER(BC9/BA9),BC9/BA9, " - ")</f>
        <v>0.41794714197910265</v>
      </c>
      <c r="BG9" s="196">
        <f>IF(ISNUMBER((AY9+AZ9)/BA9),(AY9+AZ9)/BA9," - ")</f>
        <v>5.1905347264904735</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197</v>
      </c>
      <c r="J10" s="181">
        <v>27</v>
      </c>
      <c r="K10" s="181">
        <v>14</v>
      </c>
      <c r="L10" s="181">
        <v>206</v>
      </c>
      <c r="M10" s="181">
        <v>6</v>
      </c>
      <c r="N10" s="181">
        <v>4</v>
      </c>
      <c r="O10" s="181">
        <v>4</v>
      </c>
      <c r="P10" s="181">
        <v>8</v>
      </c>
      <c r="Q10" s="181">
        <v>1</v>
      </c>
      <c r="R10" s="181">
        <v>82</v>
      </c>
      <c r="S10" s="181">
        <v>144</v>
      </c>
      <c r="T10" s="181">
        <v>25</v>
      </c>
      <c r="U10" s="181">
        <v>14</v>
      </c>
      <c r="V10" s="181">
        <v>155</v>
      </c>
      <c r="W10" s="181">
        <v>6</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144</v>
      </c>
      <c r="AZ10" s="129">
        <f t="shared" si="0"/>
        <v>25</v>
      </c>
      <c r="BA10" s="129">
        <f t="shared" si="0"/>
        <v>14</v>
      </c>
      <c r="BB10" s="129">
        <f t="shared" si="0"/>
        <v>155</v>
      </c>
      <c r="BC10" s="125">
        <f t="shared" si="0"/>
        <v>6</v>
      </c>
      <c r="BD10" s="126">
        <f>IF(ISNUMBER(BA10/AZ10),BA10/AZ10," - ")</f>
        <v>0.56000000000000005</v>
      </c>
      <c r="BE10" s="127">
        <f>IF(ISNUMBER(BB10/BA10),BB10/BA10, " - ")</f>
        <v>11.071428571428571</v>
      </c>
      <c r="BF10" s="127">
        <f>IF(ISNUMBER(BC10/BA10),BC10/BA10, " - ")</f>
        <v>0.42857142857142855</v>
      </c>
      <c r="BG10" s="196">
        <f>IF(ISNUMBER((AY10+AZ10)/BA10),(AY10+AZ10)/BA10," - ")</f>
        <v>12.071428571428571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7750</v>
      </c>
      <c r="J13" s="184">
        <f t="shared" si="6"/>
        <v>2042</v>
      </c>
      <c r="K13" s="184">
        <f t="shared" si="6"/>
        <v>1870</v>
      </c>
      <c r="L13" s="184">
        <f t="shared" si="6"/>
        <v>7914</v>
      </c>
      <c r="M13" s="184">
        <f t="shared" si="6"/>
        <v>516</v>
      </c>
      <c r="N13" s="184">
        <f t="shared" si="6"/>
        <v>784</v>
      </c>
      <c r="O13" s="184">
        <f t="shared" si="6"/>
        <v>857</v>
      </c>
      <c r="P13" s="184">
        <f t="shared" si="6"/>
        <v>358</v>
      </c>
      <c r="Q13" s="184">
        <f t="shared" si="6"/>
        <v>338</v>
      </c>
      <c r="R13" s="184">
        <f t="shared" si="6"/>
        <v>6919</v>
      </c>
      <c r="S13" s="184">
        <f t="shared" si="6"/>
        <v>6713</v>
      </c>
      <c r="T13" s="184">
        <f t="shared" si="6"/>
        <v>1647</v>
      </c>
      <c r="U13" s="184">
        <f t="shared" si="6"/>
        <v>1524</v>
      </c>
      <c r="V13" s="184">
        <f t="shared" si="6"/>
        <v>6836</v>
      </c>
      <c r="W13" s="184">
        <f t="shared" si="6"/>
        <v>343</v>
      </c>
      <c r="X13" s="184">
        <f t="shared" si="6"/>
        <v>683</v>
      </c>
      <c r="Y13" s="184">
        <f t="shared" si="6"/>
        <v>132</v>
      </c>
      <c r="Z13" s="184">
        <f t="shared" si="6"/>
        <v>84</v>
      </c>
      <c r="AA13" s="184">
        <f t="shared" si="6"/>
        <v>85</v>
      </c>
      <c r="AB13" s="184">
        <f t="shared" si="6"/>
        <v>129</v>
      </c>
      <c r="AC13" s="184">
        <f t="shared" si="6"/>
        <v>0</v>
      </c>
      <c r="AD13" s="184">
        <f t="shared" si="6"/>
        <v>0</v>
      </c>
      <c r="AE13" s="184">
        <f t="shared" si="6"/>
        <v>0</v>
      </c>
      <c r="AF13" s="184">
        <f>SUBTOTAL(9,AF9:AF12)</f>
        <v>0</v>
      </c>
      <c r="AG13" s="184">
        <f t="shared" ref="AG13:AT13" si="7">SUBTOTAL(9,AG8:AG12)</f>
        <v>137</v>
      </c>
      <c r="AH13" s="184">
        <f t="shared" si="7"/>
        <v>117</v>
      </c>
      <c r="AI13" s="184">
        <f t="shared" si="7"/>
        <v>117</v>
      </c>
      <c r="AJ13" s="184">
        <f t="shared" si="7"/>
        <v>137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6850</v>
      </c>
      <c r="AZ13" s="184">
        <f>SUBTOTAL(9,AZ8:AZ12)</f>
        <v>1764</v>
      </c>
      <c r="BA13" s="184">
        <f>SUBTOTAL(9,BA8:BA12)</f>
        <v>1641</v>
      </c>
      <c r="BB13" s="184">
        <f>SUBTOTAL(9,BB8:BB12)</f>
        <v>6973</v>
      </c>
      <c r="BC13" s="184">
        <f>SUBTOTAL(9,BC8:BC12)</f>
        <v>686</v>
      </c>
      <c r="BD13" s="205">
        <f>IF(ISNUMBER(BA13/AZ13),BA13/AZ13," - ")</f>
        <v>0.93027210884353739</v>
      </c>
      <c r="BE13" s="206">
        <f>IF(ISNUMBER(BB13/BA13),BB13/BA13, " - ")</f>
        <v>4.2492382693479582</v>
      </c>
      <c r="BF13" s="206">
        <f>IF(ISNUMBER(BC13/BA13),BC13/BA13, " - ")</f>
        <v>0.41803778184034124</v>
      </c>
      <c r="BG13" s="207">
        <f>IF(ISNUMBER((AY13+AZ13)/BA13),(AY13+AZ13)/BA13," - ")</f>
        <v>5.2492382693479582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2582</v>
      </c>
      <c r="J15" s="183">
        <v>2792</v>
      </c>
      <c r="K15" s="183">
        <v>2634</v>
      </c>
      <c r="L15" s="183">
        <v>2777</v>
      </c>
      <c r="M15" s="183">
        <v>229</v>
      </c>
      <c r="N15" s="183">
        <v>1868</v>
      </c>
      <c r="O15" s="181">
        <v>9</v>
      </c>
      <c r="P15" s="183">
        <v>77</v>
      </c>
      <c r="Q15" s="183">
        <v>49</v>
      </c>
      <c r="R15" s="183">
        <v>187</v>
      </c>
      <c r="S15" s="183">
        <v>1865</v>
      </c>
      <c r="T15" s="183">
        <v>4321</v>
      </c>
      <c r="U15" s="183">
        <v>3868</v>
      </c>
      <c r="V15" s="183">
        <v>2331</v>
      </c>
      <c r="W15" s="183">
        <v>254</v>
      </c>
      <c r="X15" s="189">
        <v>2931</v>
      </c>
      <c r="Y15" s="202">
        <v>0</v>
      </c>
      <c r="Z15" s="183">
        <v>0</v>
      </c>
      <c r="AA15" s="183">
        <v>0</v>
      </c>
      <c r="AB15" s="183">
        <v>0</v>
      </c>
      <c r="AC15" s="183">
        <v>11</v>
      </c>
      <c r="AD15" s="183">
        <v>11</v>
      </c>
      <c r="AE15" s="183">
        <v>9</v>
      </c>
      <c r="AF15" s="189">
        <v>13</v>
      </c>
      <c r="AG15" s="202">
        <v>0</v>
      </c>
      <c r="AH15" s="183">
        <v>0</v>
      </c>
      <c r="AI15" s="183">
        <v>0</v>
      </c>
      <c r="AJ15" s="203">
        <v>0</v>
      </c>
      <c r="AK15" s="182">
        <v>3</v>
      </c>
      <c r="AL15" s="183">
        <v>2</v>
      </c>
      <c r="AM15" s="183">
        <v>2</v>
      </c>
      <c r="AN15" s="189">
        <v>3</v>
      </c>
      <c r="AO15" s="259">
        <v>5</v>
      </c>
      <c r="AP15" s="155">
        <v>5</v>
      </c>
      <c r="AQ15" s="155">
        <v>5</v>
      </c>
      <c r="AR15" s="155">
        <v>5</v>
      </c>
      <c r="AS15" s="340" t="s">
        <v>527</v>
      </c>
      <c r="AT15" s="203" t="s">
        <v>326</v>
      </c>
      <c r="AU15" s="202"/>
      <c r="AV15" s="203"/>
      <c r="AW15" s="202"/>
      <c r="AX15" s="203"/>
      <c r="AY15" s="128">
        <f t="shared" ref="AY15:BB16" si="9">IF(ISNUMBER(IF(D_I="SI",S15,S15+AK15)),IF(D_I="SI",S15,S15+AK15)," - ")</f>
        <v>1865</v>
      </c>
      <c r="AZ15" s="129">
        <f t="shared" si="9"/>
        <v>4321</v>
      </c>
      <c r="BA15" s="129">
        <f t="shared" si="9"/>
        <v>3868</v>
      </c>
      <c r="BB15" s="129">
        <f t="shared" si="9"/>
        <v>2331</v>
      </c>
      <c r="BC15" s="125">
        <f>IF(ISNUMBER(W15),W15," - ")</f>
        <v>254</v>
      </c>
      <c r="BD15" s="126">
        <f>IF(ISNUMBER(BA15/AZ15),BA15/AZ15," - ")</f>
        <v>0.89516315667669522</v>
      </c>
      <c r="BE15" s="127">
        <f>IF(ISNUMBER(BB15/BA15),BB15/BA15, " - ")</f>
        <v>0.60263702171664946</v>
      </c>
      <c r="BF15" s="127">
        <f>IF(ISNUMBER(BC15/BA15),BC15/BA15, " - ")</f>
        <v>6.5667011375387802E-2</v>
      </c>
      <c r="BG15" s="196">
        <f t="shared" ref="BG15:BG16" si="10">IF(ISNUMBER((AY15+AZ15)/BA15),(AY15+AZ15)/BA15," - ")</f>
        <v>1.5992761116856256</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516</v>
      </c>
      <c r="J17" s="183">
        <v>312</v>
      </c>
      <c r="K17" s="183">
        <v>223</v>
      </c>
      <c r="L17" s="183">
        <v>624</v>
      </c>
      <c r="M17" s="183">
        <v>27</v>
      </c>
      <c r="N17" s="183">
        <v>114</v>
      </c>
      <c r="O17" s="183">
        <v>5</v>
      </c>
      <c r="P17" s="183">
        <v>0</v>
      </c>
      <c r="Q17" s="183">
        <v>5</v>
      </c>
      <c r="R17" s="183">
        <v>13</v>
      </c>
      <c r="S17" s="183">
        <v>351</v>
      </c>
      <c r="T17" s="183">
        <v>304</v>
      </c>
      <c r="U17" s="183">
        <v>267</v>
      </c>
      <c r="V17" s="183">
        <v>391</v>
      </c>
      <c r="W17" s="183">
        <v>29</v>
      </c>
      <c r="X17" s="189">
        <v>150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351</v>
      </c>
      <c r="AZ17" s="129">
        <f t="shared" si="14"/>
        <v>304</v>
      </c>
      <c r="BA17" s="129">
        <f t="shared" si="14"/>
        <v>267</v>
      </c>
      <c r="BB17" s="129">
        <f t="shared" si="14"/>
        <v>391</v>
      </c>
      <c r="BC17" s="125">
        <f>IF(ISNUMBER(W17),W17," - ")</f>
        <v>29</v>
      </c>
      <c r="BD17" s="126">
        <f>IF(ISNUMBER(BA17/AZ17),BA17/AZ17," - ")</f>
        <v>0.87828947368421051</v>
      </c>
      <c r="BE17" s="127">
        <f>IF(ISNUMBER(BB17/BA17),BB17/BA17, " - ")</f>
        <v>1.4644194756554307</v>
      </c>
      <c r="BF17" s="127">
        <f>IF(ISNUMBER(BC17/BA17),BC17/BA17, " - ")</f>
        <v>0.10861423220973783</v>
      </c>
      <c r="BG17" s="196">
        <f>IF(ISNUMBER((AY17+AZ17)/BA17),(AY17+AZ17)/BA17," - ")</f>
        <v>2.4531835205992509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3098</v>
      </c>
      <c r="J18" s="184">
        <f t="shared" si="15"/>
        <v>3104</v>
      </c>
      <c r="K18" s="184">
        <f t="shared" si="15"/>
        <v>2857</v>
      </c>
      <c r="L18" s="184">
        <f t="shared" si="15"/>
        <v>3401</v>
      </c>
      <c r="M18" s="184">
        <f t="shared" si="15"/>
        <v>256</v>
      </c>
      <c r="N18" s="184">
        <f t="shared" si="15"/>
        <v>1982</v>
      </c>
      <c r="O18" s="184">
        <f t="shared" si="15"/>
        <v>14</v>
      </c>
      <c r="P18" s="184">
        <f t="shared" si="15"/>
        <v>77</v>
      </c>
      <c r="Q18" s="184">
        <f t="shared" si="15"/>
        <v>54</v>
      </c>
      <c r="R18" s="184">
        <f t="shared" si="15"/>
        <v>200</v>
      </c>
      <c r="S18" s="184">
        <f t="shared" si="15"/>
        <v>2216</v>
      </c>
      <c r="T18" s="184">
        <f t="shared" si="15"/>
        <v>4625</v>
      </c>
      <c r="U18" s="184">
        <f t="shared" si="15"/>
        <v>4135</v>
      </c>
      <c r="V18" s="184">
        <f t="shared" si="15"/>
        <v>2722</v>
      </c>
      <c r="W18" s="184">
        <f t="shared" si="15"/>
        <v>283</v>
      </c>
      <c r="X18" s="184">
        <f t="shared" si="15"/>
        <v>3081</v>
      </c>
      <c r="Y18" s="184">
        <f t="shared" si="15"/>
        <v>0</v>
      </c>
      <c r="Z18" s="184">
        <f t="shared" si="15"/>
        <v>0</v>
      </c>
      <c r="AA18" s="184">
        <f t="shared" si="15"/>
        <v>0</v>
      </c>
      <c r="AB18" s="184">
        <f t="shared" si="15"/>
        <v>0</v>
      </c>
      <c r="AC18" s="184">
        <f t="shared" si="15"/>
        <v>11</v>
      </c>
      <c r="AD18" s="184">
        <f t="shared" si="15"/>
        <v>11</v>
      </c>
      <c r="AE18" s="184">
        <f t="shared" si="15"/>
        <v>9</v>
      </c>
      <c r="AF18" s="184">
        <f t="shared" si="15"/>
        <v>13</v>
      </c>
      <c r="AG18" s="184">
        <f t="shared" si="15"/>
        <v>0</v>
      </c>
      <c r="AH18" s="184">
        <f t="shared" si="15"/>
        <v>0</v>
      </c>
      <c r="AI18" s="184">
        <f t="shared" si="15"/>
        <v>0</v>
      </c>
      <c r="AJ18" s="184">
        <f t="shared" si="15"/>
        <v>0</v>
      </c>
      <c r="AK18" s="184">
        <f t="shared" si="15"/>
        <v>3</v>
      </c>
      <c r="AL18" s="184">
        <f t="shared" si="15"/>
        <v>2</v>
      </c>
      <c r="AM18" s="184">
        <f t="shared" si="15"/>
        <v>2</v>
      </c>
      <c r="AN18" s="184">
        <f t="shared" si="15"/>
        <v>3</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2216</v>
      </c>
      <c r="AZ18" s="184">
        <f>SUBTOTAL(9,AZ14:AZ17)</f>
        <v>4625</v>
      </c>
      <c r="BA18" s="184">
        <f>SUBTOTAL(9,BA14:BA17)</f>
        <v>4135</v>
      </c>
      <c r="BB18" s="184">
        <f>SUBTOTAL(9,BB14:BB17)</f>
        <v>2722</v>
      </c>
      <c r="BC18" s="184">
        <f>SUBTOTAL(9,BC14:BC17)</f>
        <v>283</v>
      </c>
      <c r="BD18" s="205">
        <f>IF(ISNUMBER(BA18/AZ18),BA18/AZ18," - ")</f>
        <v>0.89405405405405403</v>
      </c>
      <c r="BE18" s="206">
        <f>IF(ISNUMBER(BB18/BA18),BB18/BA18, " - ")</f>
        <v>0.6582829504232165</v>
      </c>
      <c r="BF18" s="206">
        <f>IF(ISNUMBER(BC18/BA18),BC18/BA18, " - ")</f>
        <v>6.8440145102781139E-2</v>
      </c>
      <c r="BG18" s="207">
        <f>IF(ISNUMBER((AY18+AZ18)/BA18),(AY18+AZ18)/BA18," - ")</f>
        <v>1.6544135429262394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10848</v>
      </c>
      <c r="J19" s="134">
        <f t="shared" si="18"/>
        <v>5146</v>
      </c>
      <c r="K19" s="134">
        <f t="shared" si="18"/>
        <v>4727</v>
      </c>
      <c r="L19" s="134">
        <f t="shared" si="18"/>
        <v>11315</v>
      </c>
      <c r="M19" s="134">
        <f t="shared" si="18"/>
        <v>772</v>
      </c>
      <c r="N19" s="134">
        <f t="shared" si="18"/>
        <v>2766</v>
      </c>
      <c r="O19" s="134">
        <f t="shared" si="18"/>
        <v>871</v>
      </c>
      <c r="P19" s="134">
        <f t="shared" si="18"/>
        <v>435</v>
      </c>
      <c r="Q19" s="134">
        <f t="shared" si="18"/>
        <v>392</v>
      </c>
      <c r="R19" s="134">
        <f t="shared" si="18"/>
        <v>7119</v>
      </c>
      <c r="S19" s="134">
        <f t="shared" si="18"/>
        <v>8929</v>
      </c>
      <c r="T19" s="134">
        <f t="shared" si="18"/>
        <v>6272</v>
      </c>
      <c r="U19" s="134">
        <f t="shared" si="18"/>
        <v>5659</v>
      </c>
      <c r="V19" s="134">
        <f t="shared" si="18"/>
        <v>9558</v>
      </c>
      <c r="W19" s="134">
        <f t="shared" si="18"/>
        <v>626</v>
      </c>
      <c r="X19" s="134">
        <f t="shared" si="18"/>
        <v>3764</v>
      </c>
      <c r="Y19" s="134">
        <f t="shared" si="18"/>
        <v>132</v>
      </c>
      <c r="Z19" s="134">
        <f t="shared" si="18"/>
        <v>84</v>
      </c>
      <c r="AA19" s="134">
        <f t="shared" si="18"/>
        <v>85</v>
      </c>
      <c r="AB19" s="134">
        <f t="shared" si="18"/>
        <v>129</v>
      </c>
      <c r="AC19" s="134">
        <f t="shared" si="18"/>
        <v>11</v>
      </c>
      <c r="AD19" s="134">
        <f t="shared" si="18"/>
        <v>11</v>
      </c>
      <c r="AE19" s="134">
        <f t="shared" si="18"/>
        <v>9</v>
      </c>
      <c r="AF19" s="134">
        <f t="shared" si="18"/>
        <v>13</v>
      </c>
      <c r="AG19" s="134">
        <f t="shared" si="18"/>
        <v>137</v>
      </c>
      <c r="AH19" s="134">
        <f t="shared" si="18"/>
        <v>117</v>
      </c>
      <c r="AI19" s="134">
        <f t="shared" si="18"/>
        <v>117</v>
      </c>
      <c r="AJ19" s="134">
        <f t="shared" si="18"/>
        <v>137</v>
      </c>
      <c r="AK19" s="134">
        <f t="shared" si="18"/>
        <v>3</v>
      </c>
      <c r="AL19" s="134">
        <f t="shared" si="18"/>
        <v>2</v>
      </c>
      <c r="AM19" s="134">
        <f t="shared" si="18"/>
        <v>2</v>
      </c>
      <c r="AN19" s="210">
        <f t="shared" si="18"/>
        <v>3</v>
      </c>
      <c r="AO19" s="211">
        <v>11</v>
      </c>
      <c r="AP19" s="211">
        <v>10</v>
      </c>
      <c r="AQ19" s="211">
        <v>10</v>
      </c>
      <c r="AR19" s="211">
        <v>10</v>
      </c>
      <c r="AS19" s="153">
        <f t="shared" si="18"/>
        <v>0</v>
      </c>
      <c r="AT19" s="153">
        <f t="shared" si="18"/>
        <v>0</v>
      </c>
      <c r="AU19" s="211"/>
      <c r="AV19" s="212"/>
      <c r="AW19" s="211"/>
      <c r="AX19" s="212"/>
      <c r="AY19" s="133">
        <f>SUBTOTAL(9,AY9:AY18)</f>
        <v>9066</v>
      </c>
      <c r="AZ19" s="134">
        <f>SUBTOTAL(9,AZ9:AZ18)</f>
        <v>6389</v>
      </c>
      <c r="BA19" s="134">
        <f>SUBTOTAL(9,BA9:BA18)</f>
        <v>5776</v>
      </c>
      <c r="BB19" s="134">
        <f>SUBTOTAL(9,BB9:BB18)</f>
        <v>9695</v>
      </c>
      <c r="BC19" s="135">
        <f>SUBTOTAL(9,BC9:BC18)</f>
        <v>969</v>
      </c>
      <c r="BD19" s="213">
        <f>IF(ISNUMBER(BA19/AZ19),BA19/AZ19," - ")</f>
        <v>0.90405384254186882</v>
      </c>
      <c r="BE19" s="210">
        <f>IF(ISNUMBER(BB19/BA19),BB19/BA19, " - ")</f>
        <v>1.6784972299168974</v>
      </c>
      <c r="BF19" s="210">
        <f>IF(ISNUMBER(BC19/BA19),BC19/BA19, " - ")</f>
        <v>0.16776315789473684</v>
      </c>
      <c r="BG19" s="135">
        <f>IF(ISNUMBER((AY19+AZ19)/BA19),(AY19+AZ19)/BA19," - ")</f>
        <v>2.6757271468144044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EwXcRuPTGpf0fwZUPjkqF+cQyr6jOVuTp8ZACplkDLYzpbYmm1Suq65GjoMOZttTG3d5aPHI/HwiFB9CRxbjg==" saltValue="K6CWgfSzkTVL6awJuXzF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LF+C4P+sUYWt2lzXR7I8QikZiF09pDTSnPPrz0QCpnngP8ItFhyoeS1opAX5f14yORo1L5I/4PIUQksum8dtg==" saltValue="2dPArizT0+bJ/jIYt6MF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TORREMOLINOS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84</v>
      </c>
      <c r="O9" s="334"/>
      <c r="P9" s="334"/>
      <c r="Q9" s="226">
        <f>IF(ISNUMBER(Datos!P9),Datos!P9,0)</f>
        <v>350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337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129</v>
      </c>
      <c r="AI9" s="334" t="str">
        <f>IF(ISNUMBER(Datos!CD9),Datos!CD9,"-")</f>
        <v>-</v>
      </c>
      <c r="AJ9" s="334" t="str">
        <f>IF(ISNUMBER(Datos!EN9),Datos!EN9," - ")</f>
        <v xml:space="preserve"> - </v>
      </c>
      <c r="AK9" s="334"/>
      <c r="AL9" s="479"/>
      <c r="AM9" s="335">
        <f>IF(ISNUMBER(Datos!R9),Datos!R9," - ")</f>
        <v>6837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510</v>
      </c>
      <c r="BD9" s="229">
        <f>IF(ISNUMBER(Datos!N9),Datos!N9," - ")</f>
        <v>780</v>
      </c>
      <c r="BE9" s="229" t="str">
        <f>IF(ISNUMBER(Datos!BW9),Datos!BW9," - ")</f>
        <v xml:space="preserve"> - </v>
      </c>
      <c r="BF9" s="228" t="str">
        <f>IF(ISNUMBER(Datos!BX9),Datos!BX9," - ")</f>
        <v xml:space="preserve"> - </v>
      </c>
      <c r="BG9" s="243">
        <f>IF(ISNUMBER(IF(J_V="SI",Datos!K9/Datos!J9,(Datos!K9+Datos!AA9)/(Datos!J9+Datos!Z9))),IF(J_V="SI",Datos!K9/Datos!J9,(Datos!K9+Datos!AA9)/(Datos!J9+Datos!Z9))," - ")</f>
        <v>0.92472606002858504</v>
      </c>
      <c r="BH9" s="260">
        <f>IF(ISNUMBER(((IF(J_V="SI",Datos!L9/Datos!K9,(Datos!L9+Datos!AB9)/(Datos!K9+Datos!AA9)))*11)/factor_trimestre),((IF(J_V="SI",Datos!L9/Datos!K9,(Datos!L9+Datos!AB9)/(Datos!K9+Datos!AA9)))*11)/factor_trimestre," - ")</f>
        <v>8.0752189592993311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1.9050410316529894E-3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193</v>
      </c>
      <c r="G10" s="333">
        <f>IF(ISNUMBER(Datos!I10),Datos!I10," - ")</f>
        <v>197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1</v>
      </c>
      <c r="AD10" s="334"/>
      <c r="AE10" s="484"/>
      <c r="AF10" s="332">
        <f>IF(ISNUMBER(Datos!L10),Datos!L10,"-")</f>
        <v>206</v>
      </c>
      <c r="AG10" s="334"/>
      <c r="AH10" s="334"/>
      <c r="AI10" s="334"/>
      <c r="AJ10" s="334"/>
      <c r="AK10" s="334"/>
      <c r="AL10" s="479"/>
      <c r="AM10" s="335">
        <f>IF(ISNUMBER(Datos!R10),Datos!R10," - ")</f>
        <v>82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4</v>
      </c>
      <c r="BE10" s="229" t="str">
        <f>IF(ISNUMBER(Datos!BW10),Datos!BW10," - ")</f>
        <v xml:space="preserve"> - </v>
      </c>
      <c r="BF10" s="228" t="str">
        <f>IF(ISNUMBER(Datos!BX10),Datos!BX10," - ")</f>
        <v xml:space="preserve"> - </v>
      </c>
      <c r="BG10" s="243">
        <f>IF(ISNUMBER(Datos!K10/Datos!J10),Datos!K10/Datos!J10," - ")</f>
        <v>0.51851851851851849</v>
      </c>
      <c r="BH10" s="260">
        <f>IF(ISNUMBER(((Datos!L10/Datos!K10)*11)/factor_trimestre),((Datos!L10/Datos!K10)*11)/factor_trimestre," - ")</f>
        <v>29.428571428571431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9.3333333333333338E-2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193</v>
      </c>
      <c r="G13" s="898">
        <f t="shared" si="0"/>
        <v>197</v>
      </c>
      <c r="H13" s="899">
        <f t="shared" si="0"/>
        <v>0</v>
      </c>
      <c r="I13" s="898">
        <f t="shared" si="0"/>
        <v>0</v>
      </c>
      <c r="J13" s="867">
        <f t="shared" si="0"/>
        <v>0</v>
      </c>
      <c r="K13" s="867">
        <f t="shared" si="0"/>
        <v>0</v>
      </c>
      <c r="L13" s="899">
        <f t="shared" si="0"/>
        <v>0</v>
      </c>
      <c r="M13" s="899">
        <f t="shared" si="0"/>
        <v>0</v>
      </c>
      <c r="N13" s="899">
        <f t="shared" si="0"/>
        <v>84</v>
      </c>
      <c r="O13" s="900">
        <f t="shared" si="0"/>
        <v>0</v>
      </c>
      <c r="P13" s="900">
        <f t="shared" si="0"/>
        <v>0</v>
      </c>
      <c r="Q13" s="899">
        <f t="shared" si="0"/>
        <v>358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338</v>
      </c>
      <c r="AD13" s="899">
        <f t="shared" si="1"/>
        <v>0</v>
      </c>
      <c r="AE13" s="899">
        <f t="shared" si="1"/>
        <v>0</v>
      </c>
      <c r="AF13" s="899">
        <f t="shared" si="1"/>
        <v>206</v>
      </c>
      <c r="AG13" s="899">
        <f t="shared" si="1"/>
        <v>0</v>
      </c>
      <c r="AH13" s="899">
        <f t="shared" si="1"/>
        <v>129</v>
      </c>
      <c r="AI13" s="899">
        <f t="shared" si="1"/>
        <v>0</v>
      </c>
      <c r="AJ13" s="899">
        <f t="shared" si="1"/>
        <v>0</v>
      </c>
      <c r="AK13" s="899">
        <f t="shared" si="1"/>
        <v>0</v>
      </c>
      <c r="AL13" s="899">
        <f t="shared" si="1"/>
        <v>0</v>
      </c>
      <c r="AM13" s="899">
        <f t="shared" si="1"/>
        <v>6919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516</v>
      </c>
      <c r="BD13" s="899">
        <f t="shared" si="1"/>
        <v>784</v>
      </c>
      <c r="BE13" s="899">
        <f t="shared" si="1"/>
        <v>0</v>
      </c>
      <c r="BF13" s="899">
        <f t="shared" si="1"/>
        <v>0</v>
      </c>
      <c r="BG13" s="899">
        <f>IF(ISNUMBER(Datos!K13/Datos!J13),Datos!K13/Datos!J13," - ")</f>
        <v>0.91576885406464248</v>
      </c>
      <c r="BH13" s="903">
        <f>IF(ISNUMBER(((Datos!L13/Datos!K13)*11)/factor_trimestre),((Datos!L13/Datos!K13)*11)/factor_trimestre," - ")</f>
        <v>8.464171122994653</v>
      </c>
      <c r="BI13" s="899">
        <f>IF(ISNUMBER('Resol  Asuntos'!D13/NºAsuntos!G13),'Resol  Asuntos'!D13/NºAsuntos!G13," - ")</f>
        <v>0.2639386189258312</v>
      </c>
      <c r="BJ13" s="899" t="str">
        <f>IF(ISNUMBER(Datos!CI13/Datos!CJ13),Datos!CI13/Datos!CJ13," - ")</f>
        <v xml:space="preserve"> - </v>
      </c>
      <c r="BK13" s="899">
        <f>SUBTOTAL(9,BK8:BK12)</f>
        <v>0</v>
      </c>
      <c r="BL13" s="899">
        <f>IF(ISNUMBER((I13-AB13+L13)/(F13)),(I13-AB13+L13)/(F13)," - ")</f>
        <v>-7.2538860103626937E-2</v>
      </c>
      <c r="BM13" s="904">
        <f>SUBTOTAL(9,BM9:BM12)</f>
        <v>9.5238374364986333E-2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2619</v>
      </c>
      <c r="G15" s="598">
        <f>IF(ISNUMBER(IF(D_I="SI",Datos!I15,Datos!I15+Datos!AC15)),IF(D_I="SI",Datos!I15,Datos!I15+Datos!AC15)," - ")</f>
        <v>2582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2634</v>
      </c>
      <c r="AC15" s="226">
        <f>IF(ISNUMBER(Datos!Q15),Datos!Q15," - ")</f>
        <v>49</v>
      </c>
      <c r="AD15" s="334"/>
      <c r="AE15" s="484"/>
      <c r="AF15" s="596">
        <f>IF(ISNUMBER(IF(D_I="SI",Datos!L15,Datos!L15+Datos!AF15)),IF(D_I="SI",Datos!L15,Datos!L15+Datos!AF15)," - ")</f>
        <v>2777</v>
      </c>
      <c r="AG15" s="334"/>
      <c r="AH15" s="334"/>
      <c r="AI15" s="334"/>
      <c r="AJ15" s="334"/>
      <c r="AK15" s="334"/>
      <c r="AL15" s="479"/>
      <c r="AM15" s="335">
        <f>IF(ISNUMBER(Datos!R15),Datos!R15," - ")</f>
        <v>187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229</v>
      </c>
      <c r="BD15" s="229">
        <f>IF(ISNUMBER(Datos!N15),Datos!N15," - ")</f>
        <v>1868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0.94340974212034379</v>
      </c>
      <c r="BH15" s="260">
        <f>IF(ISNUMBER(((IF(D_I="SI",Datos!L15/Datos!K15,(Datos!L15+Datos!AF15)/(Datos!K15+Datos!AE15)))*11)/factor_trimestre),((IF(D_I="SI",Datos!L15/Datos!K15,(Datos!L15+Datos!AF15)/(Datos!K15+Datos!AE15)))*11)/factor_trimestre," - ")</f>
        <v>2.1085801063022021</v>
      </c>
      <c r="BI15" s="243">
        <f>IF(ISNUMBER('Resol  Asuntos'!D15/NºAsuntos!G15),'Resol  Asuntos'!D15/NºAsuntos!G15," - ")</f>
        <v>8.6940015186028854E-2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223</v>
      </c>
      <c r="AC17" s="226">
        <f>IF(ISNUMBER(Datos!Q17),Datos!Q17," - ")</f>
        <v>5</v>
      </c>
      <c r="AD17" s="334"/>
      <c r="AE17" s="484"/>
      <c r="AF17" s="332">
        <f>IF(ISNUMBER(Datos!L17),Datos!L17,"-")</f>
        <v>624</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114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0.71474358974358976</v>
      </c>
      <c r="BH17" s="260">
        <f>IF(ISNUMBER(((IF(D_I="SI",Datos!L17/Datos!K17,(Datos!L17+Datos!AF17)/(Datos!K17+Datos!AE17)))*11)/factor_trimestre),((IF(D_I="SI",Datos!L17/Datos!K17,(Datos!L17+Datos!AF17)/(Datos!K17+Datos!AE17)))*11)/factor_trimestre," - ")</f>
        <v>5.5964125560538118</v>
      </c>
      <c r="BI17" s="243">
        <f>IF(ISNUMBER('Resol  Asuntos'!D17/NºAsuntos!G17),'Resol  Asuntos'!D17/NºAsuntos!G17," - ")</f>
        <v>0.1210762331838565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2619</v>
      </c>
      <c r="G18" s="898">
        <f>SUBTOTAL(9,G15:G17)</f>
        <v>3098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2857</v>
      </c>
      <c r="AC18" s="899">
        <f t="shared" si="4"/>
        <v>54</v>
      </c>
      <c r="AD18" s="899">
        <f t="shared" si="4"/>
        <v>0</v>
      </c>
      <c r="AE18" s="899">
        <f t="shared" si="4"/>
        <v>0</v>
      </c>
      <c r="AF18" s="899">
        <f t="shared" si="4"/>
        <v>3401</v>
      </c>
      <c r="AG18" s="899">
        <f t="shared" si="4"/>
        <v>0</v>
      </c>
      <c r="AH18" s="899">
        <f t="shared" si="4"/>
        <v>0</v>
      </c>
      <c r="AI18" s="899">
        <f t="shared" si="4"/>
        <v>0</v>
      </c>
      <c r="AJ18" s="899">
        <f t="shared" si="4"/>
        <v>0</v>
      </c>
      <c r="AK18" s="899">
        <f t="shared" si="4"/>
        <v>0</v>
      </c>
      <c r="AL18" s="899">
        <f t="shared" si="4"/>
        <v>0</v>
      </c>
      <c r="AM18" s="899">
        <f t="shared" si="4"/>
        <v>200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256</v>
      </c>
      <c r="BD18" s="899">
        <f t="shared" si="4"/>
        <v>1982</v>
      </c>
      <c r="BE18" s="899">
        <f t="shared" si="4"/>
        <v>0</v>
      </c>
      <c r="BF18" s="899">
        <f t="shared" si="4"/>
        <v>0</v>
      </c>
      <c r="BG18" s="899">
        <f>IF(ISNUMBER(Datos!K18/Datos!J18),Datos!K18/Datos!J18," - ")</f>
        <v>0.92042525773195871</v>
      </c>
      <c r="BH18" s="903">
        <f>IF(ISNUMBER(((Datos!L18/Datos!K18)*11)/factor_trimestre),((Datos!L18/Datos!K18)*11)/factor_trimestre," - ")</f>
        <v>2.3808190409520478</v>
      </c>
      <c r="BI18" s="899">
        <f>SUBTOTAL(9,BI15:BI17)</f>
        <v>0.20801624836988536</v>
      </c>
      <c r="BJ18" s="899">
        <f>SUBTOTAL(9,BJ15:BJ17)</f>
        <v>0</v>
      </c>
      <c r="BK18" s="899">
        <f>SUBTOTAL(9,BK15:BK17)</f>
        <v>0</v>
      </c>
      <c r="BL18" s="899">
        <f>IF(ISNUMBER((I18-AB18+L18)/(F18)),(I18-AB18+L18)/(F18)," - ")</f>
        <v>-1.0908743795341733</v>
      </c>
      <c r="BM18" s="905">
        <f>IF(ISNUMBER((Datos!P18-Datos!Q18)/(Datos!R18-Datos!P18+Datos!Q18)),(Datos!P18-Datos!Q18)/(Datos!R18-Datos!P18+Datos!Q18)," - ")</f>
        <v>0.12994350282485875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2812</v>
      </c>
      <c r="G19" s="820">
        <f t="shared" si="6"/>
        <v>3295</v>
      </c>
      <c r="H19" s="822">
        <f t="shared" si="6"/>
        <v>0</v>
      </c>
      <c r="I19" s="820">
        <f t="shared" si="6"/>
        <v>0</v>
      </c>
      <c r="J19" s="822">
        <f t="shared" si="6"/>
        <v>0</v>
      </c>
      <c r="K19" s="822">
        <f t="shared" si="6"/>
        <v>0</v>
      </c>
      <c r="L19" s="881">
        <f t="shared" si="6"/>
        <v>0</v>
      </c>
      <c r="M19" s="881">
        <f t="shared" si="6"/>
        <v>0</v>
      </c>
      <c r="N19" s="881">
        <f t="shared" si="6"/>
        <v>84</v>
      </c>
      <c r="O19" s="881">
        <f t="shared" si="6"/>
        <v>0</v>
      </c>
      <c r="P19" s="881">
        <f t="shared" si="6"/>
        <v>0</v>
      </c>
      <c r="Q19" s="822">
        <f t="shared" si="6"/>
        <v>435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2871</v>
      </c>
      <c r="AC19" s="821">
        <f t="shared" si="7"/>
        <v>392</v>
      </c>
      <c r="AD19" s="821">
        <f t="shared" si="7"/>
        <v>0</v>
      </c>
      <c r="AE19" s="821">
        <f t="shared" si="7"/>
        <v>0</v>
      </c>
      <c r="AF19" s="828">
        <f t="shared" si="7"/>
        <v>3607</v>
      </c>
      <c r="AG19" s="828">
        <f t="shared" si="7"/>
        <v>0</v>
      </c>
      <c r="AH19" s="828">
        <f t="shared" si="7"/>
        <v>129</v>
      </c>
      <c r="AI19" s="828">
        <f t="shared" si="7"/>
        <v>0</v>
      </c>
      <c r="AJ19" s="821">
        <f t="shared" si="7"/>
        <v>0</v>
      </c>
      <c r="AK19" s="828">
        <f t="shared" si="7"/>
        <v>0</v>
      </c>
      <c r="AL19" s="828">
        <f t="shared" si="7"/>
        <v>0</v>
      </c>
      <c r="AM19" s="828">
        <f t="shared" si="7"/>
        <v>7119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772</v>
      </c>
      <c r="BD19" s="820">
        <f t="shared" si="7"/>
        <v>2766</v>
      </c>
      <c r="BE19" s="820">
        <f t="shared" si="7"/>
        <v>0</v>
      </c>
      <c r="BF19" s="830">
        <f t="shared" si="7"/>
        <v>0</v>
      </c>
      <c r="BG19" s="915">
        <f>IF(ISNUMBER(Datos!K19/Datos!J19),Datos!K19/Datos!J19," - ")</f>
        <v>0.9185775359502526</v>
      </c>
      <c r="BH19" s="915">
        <f>IF(ISNUMBER(((Datos!L19/Datos!K19)*11)/factor_trimestre),((Datos!L19/Datos!K19)*11)/factor_trimestre," - ")</f>
        <v>4.7873915802834777</v>
      </c>
      <c r="BI19" s="813">
        <f>IF(ISNUMBER(Datos!J19/Datos!I19),Datos!J19/Datos!I19," - ")</f>
        <v>0.47437315634218291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-1.0209815078236131</v>
      </c>
      <c r="BM19" s="889">
        <f>IF(ISNUMBER((Datos!P19-Datos!Q19+R19)/(Datos!R19-Datos!P19+Datos!Q19-R19)),(Datos!P19-Datos!Q19+R19)/(Datos!R19-Datos!P19+Datos!Q19-R19)," - ")</f>
        <v>6.0768795929903897E-3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1318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1400.651753054032</v>
      </c>
      <c r="G21" s="552">
        <f>IF(ISNUMBER(STDEV(G8:G18)),STDEV(G8:G18),"-")</f>
        <v>1407.3540776933146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1462.567365969855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222.60967334477328</v>
      </c>
      <c r="BD21" s="551"/>
      <c r="BE21" s="551">
        <f>IF(ISNUMBER(STDEV(BE8:BE18)),STDEV(BE8:BE18),"-")</f>
        <v>0</v>
      </c>
      <c r="BF21" s="556">
        <f>IF(ISNUMBER(STDEV(BF8:BF18)),STDEV(BF8:BF18),"-")</f>
        <v>0</v>
      </c>
      <c r="BG21" s="775">
        <f>IF(ISNUMBER(STDEV(BG8:BG18)),STDEV(BG8:BG18),"-")</f>
        <v>0.17168158526808466</v>
      </c>
      <c r="BH21" s="776">
        <f>IF(ISNUMBER(STDEV(BH8:BH18)),STDEV(BH8:BH18),"-")</f>
        <v>10.204464689309667</v>
      </c>
      <c r="BI21" s="249">
        <f>IF(ISNUMBER(STDEV(BI8:BI18)),STDEV(BI8:BI18),"-")</f>
        <v>8.0751047658868771E-2</v>
      </c>
      <c r="BJ21" s="230" t="str">
        <f>IF(ISNUMBER(BL21/BM21),BL21/BM21," - ")</f>
        <v xml:space="preserve"> - </v>
      </c>
      <c r="BK21" s="575"/>
      <c r="BL21" s="559">
        <f>IF(ISNUMBER(STDEV(BL8:BL18)),STDEV(BL8:BL18),"-")</f>
        <v>0.7200719513124646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uHidPbaV2LfIJAvQ4aJiB3cwYuGmXdLCqqx5AGErvHNaVjO0idIEa1nfcsTS5EVJxJxPsg5i5Itgo/XI/T4D6Q==" saltValue="ntuk9xbppNRBATcALE3i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TORREMOLINOS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350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337</v>
      </c>
      <c r="AA9" s="332" t="str">
        <f>IF(ISNUMBER(IF(J_V="SI",Datos!L9,Datos!L9+Datos!AB9)-IF(Monitorios="SI",Datos!CD9,0)),
                          IF(J_V="SI",Datos!L9,Datos!L9+Datos!AB9)-IF(Monitorios="SI",Datos!CD9,0),
                          " - ")</f>
        <v xml:space="preserve"> - </v>
      </c>
      <c r="AB9" s="334"/>
      <c r="AC9" s="334"/>
      <c r="AD9" s="484"/>
      <c r="AE9" s="484">
        <f>IF(ISNUMBER(Datos!R9),Datos!R9," - ")</f>
        <v>6837</v>
      </c>
      <c r="AF9" s="229" t="str">
        <f>IF(ISNUMBER(Datos!BV9),Datos!BV9," - ")</f>
        <v xml:space="preserve"> - </v>
      </c>
      <c r="AG9" s="225" t="str">
        <f>IF(ISNUMBER(Datos!DV9),Datos!DV9," - ")</f>
        <v xml:space="preserve"> - </v>
      </c>
      <c r="AH9" s="298"/>
      <c r="AI9" s="227"/>
      <c r="AJ9" s="225">
        <f>IF(ISNUMBER(Datos!M9),Datos!M9," - ")</f>
        <v>510</v>
      </c>
      <c r="AK9" s="229">
        <f>IF(ISNUMBER(Datos!N9),Datos!N9," - ")</f>
        <v>780</v>
      </c>
      <c r="AL9" s="229" t="str">
        <f>IF(ISNUMBER(Datos!BW9),Datos!BW9," - ")</f>
        <v xml:space="preserve"> - </v>
      </c>
      <c r="AM9" s="228" t="str">
        <f>IF(ISNUMBER(Datos!BX9),Datos!BX9," - ")</f>
        <v xml:space="preserve"> - </v>
      </c>
      <c r="AN9" s="243"/>
      <c r="AO9" s="260">
        <f>IF(ISNUMBER(((NºAsuntos!I9/NºAsuntos!G9)*11)/factor_trimestre),((NºAsuntos!I9/NºAsuntos!G9)*11)/factor_trimestre," - ")</f>
        <v>8.0752189592993311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1.9050410316529894E-3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193</v>
      </c>
      <c r="G10" s="225">
        <f>IF(ISNUMBER(Datos!I10),Datos!I10," - ")</f>
        <v>197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1</v>
      </c>
      <c r="AA10" s="332">
        <f>IF(ISNUMBER(Datos!L10),Datos!L10,"-")</f>
        <v>206</v>
      </c>
      <c r="AB10" s="334"/>
      <c r="AC10" s="334"/>
      <c r="AD10" s="484"/>
      <c r="AE10" s="484">
        <f>IF(ISNUMBER(Datos!R10),Datos!R10," - ")</f>
        <v>82</v>
      </c>
      <c r="AF10" s="229" t="str">
        <f>IF(ISNUMBER(Datos!BV10),Datos!BV10," - ")</f>
        <v xml:space="preserve"> - </v>
      </c>
      <c r="AG10" s="225" t="str">
        <f>IF(ISNUMBER(Datos!DV10),Datos!DV10," - ")</f>
        <v xml:space="preserve"> - </v>
      </c>
      <c r="AH10" s="298"/>
      <c r="AI10" s="227"/>
      <c r="AJ10" s="225">
        <f>IF(ISNUMBER(Datos!M10),Datos!M10," - ")</f>
        <v>6</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29.428571428571431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9.3333333333333338E-2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193</v>
      </c>
      <c r="G13" s="898">
        <f>SUBTOTAL(9,G8:G12)</f>
        <v>197</v>
      </c>
      <c r="H13" s="908"/>
      <c r="I13" s="898">
        <f t="shared" ref="I13:N13" si="0">SUBTOTAL(9,I8:I12)</f>
        <v>0</v>
      </c>
      <c r="J13" s="867">
        <f t="shared" si="0"/>
        <v>0</v>
      </c>
      <c r="K13" s="908">
        <f t="shared" si="0"/>
        <v>0</v>
      </c>
      <c r="L13" s="908">
        <f t="shared" si="0"/>
        <v>0</v>
      </c>
      <c r="M13" s="908">
        <f t="shared" si="0"/>
        <v>0</v>
      </c>
      <c r="N13" s="908">
        <f t="shared" si="0"/>
        <v>358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338</v>
      </c>
      <c r="AA13" s="900">
        <f t="shared" si="2"/>
        <v>206</v>
      </c>
      <c r="AB13" s="900">
        <f t="shared" si="2"/>
        <v>0</v>
      </c>
      <c r="AC13" s="900">
        <f t="shared" si="2"/>
        <v>0</v>
      </c>
      <c r="AD13" s="900">
        <f t="shared" si="2"/>
        <v>0</v>
      </c>
      <c r="AE13" s="900">
        <f t="shared" si="2"/>
        <v>6919</v>
      </c>
      <c r="AF13" s="908">
        <f t="shared" si="2"/>
        <v>0</v>
      </c>
      <c r="AG13" s="908">
        <f t="shared" si="2"/>
        <v>0</v>
      </c>
      <c r="AH13" s="908">
        <f t="shared" si="2"/>
        <v>0</v>
      </c>
      <c r="AI13" s="908">
        <f t="shared" si="2"/>
        <v>0</v>
      </c>
      <c r="AJ13" s="908">
        <f t="shared" si="2"/>
        <v>516</v>
      </c>
      <c r="AK13" s="908">
        <f t="shared" si="2"/>
        <v>784</v>
      </c>
      <c r="AL13" s="908">
        <f t="shared" si="2"/>
        <v>0</v>
      </c>
      <c r="AM13" s="908">
        <f t="shared" si="2"/>
        <v>0</v>
      </c>
      <c r="AN13" s="908">
        <f t="shared" si="2"/>
        <v>0</v>
      </c>
      <c r="AO13" s="904">
        <f>IF(ISNUMBER(((NºAsuntos!I13/NºAsuntos!G13)*11)/factor_trimestre),((NºAsuntos!I13/NºAsuntos!G13)*11)/factor_trimestre," - ")</f>
        <v>8.2281329923273656</v>
      </c>
      <c r="AP13" s="910" t="str">
        <f>IF(ISNUMBER(Datos!CI13/Datos!CJ13),Datos!CI13/Datos!CJ13," - ")</f>
        <v xml:space="preserve"> - </v>
      </c>
      <c r="AQ13" s="928">
        <f t="shared" ref="AQ13:AV13" si="3">SUBTOTAL(9,AQ9:AQ12)</f>
        <v>0</v>
      </c>
      <c r="AR13" s="928">
        <f t="shared" si="3"/>
        <v>9.5238374364986333E-2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2619</v>
      </c>
      <c r="G15" s="225">
        <f>IF(ISNUMBER(IF(D_I="SI",Datos!I15,Datos!I15+Datos!AC15)),IF(D_I="SI",Datos!I15,Datos!I15+Datos!AC15)," - ")</f>
        <v>2582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2634</v>
      </c>
      <c r="Z15" s="619">
        <f>IF(ISNUMBER(Datos!Q15),Datos!Q15," - ")</f>
        <v>49</v>
      </c>
      <c r="AA15" s="332">
        <f>IF(ISNUMBER(IF(D_I="SI",Datos!L15,Datos!L15+Datos!AF15)),IF(D_I="SI",Datos!L15,Datos!L15+Datos!AF15)," - ")</f>
        <v>2777</v>
      </c>
      <c r="AB15" s="334"/>
      <c r="AC15" s="334"/>
      <c r="AD15" s="484"/>
      <c r="AE15" s="484">
        <f>IF(ISNUMBER(Datos!R15),Datos!R15," - ")</f>
        <v>187</v>
      </c>
      <c r="AF15" s="229" t="str">
        <f>IF(ISNUMBER(Datos!BV15),Datos!BV15," - ")</f>
        <v xml:space="preserve"> - </v>
      </c>
      <c r="AG15" s="225"/>
      <c r="AH15" s="298"/>
      <c r="AI15" s="227"/>
      <c r="AJ15" s="225">
        <f>IF(ISNUMBER(Datos!M15),Datos!M15," - ")</f>
        <v>229</v>
      </c>
      <c r="AK15" s="229">
        <f>IF(ISNUMBER(Datos!N15),Datos!N15," - ")</f>
        <v>1868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2.1085801063022021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223</v>
      </c>
      <c r="Z17" s="619">
        <f>IF(ISNUMBER(Datos!Q17),Datos!Q17," - ")</f>
        <v>5</v>
      </c>
      <c r="AA17" s="332">
        <f>IF(ISNUMBER(Datos!L17),Datos!L17,"-")</f>
        <v>624</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27</v>
      </c>
      <c r="AK17" s="229">
        <f>IF(ISNUMBER(Datos!N17),Datos!N17," - ")</f>
        <v>114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5.5964125560538118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2619</v>
      </c>
      <c r="G18" s="898">
        <f>SUBTOTAL(9,G15:G17)</f>
        <v>3098</v>
      </c>
      <c r="H18" s="932">
        <f>SUBTOTAL(9,H15:H17)</f>
        <v>0</v>
      </c>
      <c r="I18" s="911">
        <f>SUBTOTAL(9,I15:I17)</f>
        <v>0</v>
      </c>
      <c r="J18" s="867">
        <f>SUBTOTAL(9,J14:J17)</f>
        <v>0</v>
      </c>
      <c r="K18" s="932">
        <f t="shared" ref="K18:S18" si="4">SUBTOTAL(9,K15:K17)</f>
        <v>0</v>
      </c>
      <c r="L18" s="932">
        <f t="shared" si="4"/>
        <v>0</v>
      </c>
      <c r="M18" s="932">
        <f t="shared" si="4"/>
        <v>0</v>
      </c>
      <c r="N18" s="932">
        <f t="shared" si="4"/>
        <v>77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2857</v>
      </c>
      <c r="Z18" s="932">
        <f t="shared" si="5"/>
        <v>54</v>
      </c>
      <c r="AA18" s="932">
        <f t="shared" si="5"/>
        <v>3401</v>
      </c>
      <c r="AB18" s="932">
        <f t="shared" si="5"/>
        <v>0</v>
      </c>
      <c r="AC18" s="932">
        <f t="shared" si="5"/>
        <v>0</v>
      </c>
      <c r="AD18" s="932">
        <f t="shared" si="5"/>
        <v>0</v>
      </c>
      <c r="AE18" s="932">
        <f t="shared" si="5"/>
        <v>200</v>
      </c>
      <c r="AF18" s="932">
        <f t="shared" si="5"/>
        <v>0</v>
      </c>
      <c r="AG18" s="932">
        <f t="shared" si="5"/>
        <v>0</v>
      </c>
      <c r="AH18" s="932">
        <f t="shared" si="5"/>
        <v>0</v>
      </c>
      <c r="AI18" s="932">
        <f t="shared" si="5"/>
        <v>0</v>
      </c>
      <c r="AJ18" s="932">
        <f t="shared" si="5"/>
        <v>256</v>
      </c>
      <c r="AK18" s="932">
        <f t="shared" si="5"/>
        <v>1982</v>
      </c>
      <c r="AL18" s="932">
        <f t="shared" si="5"/>
        <v>0</v>
      </c>
      <c r="AM18" s="932">
        <f t="shared" si="5"/>
        <v>0</v>
      </c>
      <c r="AN18" s="932">
        <f t="shared" si="5"/>
        <v>0</v>
      </c>
      <c r="AO18" s="934">
        <f>IF(ISNUMBER(((NºAsuntos!I18/NºAsuntos!G18)*11)/factor_trimestre),((NºAsuntos!I18/NºAsuntos!G18)*11)/factor_trimestre," - ")</f>
        <v>2.3808190409520478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2812</v>
      </c>
      <c r="G19" s="820">
        <f t="shared" si="7"/>
        <v>3295</v>
      </c>
      <c r="H19" s="821">
        <f t="shared" si="7"/>
        <v>0</v>
      </c>
      <c r="I19" s="820">
        <f t="shared" si="7"/>
        <v>0</v>
      </c>
      <c r="J19" s="822">
        <f t="shared" si="7"/>
        <v>0</v>
      </c>
      <c r="K19" s="820">
        <f t="shared" si="7"/>
        <v>0</v>
      </c>
      <c r="L19" s="823">
        <f t="shared" si="7"/>
        <v>0</v>
      </c>
      <c r="M19" s="820">
        <f t="shared" si="7"/>
        <v>0</v>
      </c>
      <c r="N19" s="821">
        <f t="shared" si="7"/>
        <v>435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2871</v>
      </c>
      <c r="Z19" s="827">
        <f t="shared" si="8"/>
        <v>392</v>
      </c>
      <c r="AA19" s="828">
        <f t="shared" si="8"/>
        <v>3607</v>
      </c>
      <c r="AB19" s="828">
        <f t="shared" si="8"/>
        <v>0</v>
      </c>
      <c r="AC19" s="828">
        <f t="shared" si="8"/>
        <v>0</v>
      </c>
      <c r="AD19" s="829">
        <f t="shared" si="8"/>
        <v>0</v>
      </c>
      <c r="AE19" s="829">
        <f t="shared" si="8"/>
        <v>7119</v>
      </c>
      <c r="AF19" s="830">
        <f t="shared" si="8"/>
        <v>0</v>
      </c>
      <c r="AG19" s="831">
        <f t="shared" si="8"/>
        <v>0</v>
      </c>
      <c r="AH19" s="832">
        <f t="shared" si="8"/>
        <v>0</v>
      </c>
      <c r="AI19" s="830">
        <f t="shared" si="8"/>
        <v>0</v>
      </c>
      <c r="AJ19" s="820">
        <f t="shared" si="8"/>
        <v>772</v>
      </c>
      <c r="AK19" s="820">
        <f t="shared" si="8"/>
        <v>2766</v>
      </c>
      <c r="AL19" s="820">
        <f t="shared" si="8"/>
        <v>0</v>
      </c>
      <c r="AM19" s="833">
        <f t="shared" si="8"/>
        <v>0</v>
      </c>
      <c r="AN19" s="823">
        <f>IF(ISNUMBER(Datos!K19/Datos!J19),Datos!K19/Datos!J19," - ")</f>
        <v>0.9185775359502526</v>
      </c>
      <c r="AO19" s="823">
        <f>IF(ISNUMBER(FIND("06",Criterios!A8,1)),(IF(ISNUMBER(((Datos!R19/Datos!Q19)*11)/factor_trimestre),((Datos!R19/Datos!Q19)*11)/factor_trimestre," - ")),(IF(ISNUMBER(((Datos!L19/Datos!K19)*11)/factor_trimestre),((Datos!L19/Datos!K19)*11)/factor_trimestre," - ")))</f>
        <v>4.7873915802834777</v>
      </c>
      <c r="AP19" s="834" t="str">
        <f>IF(ISNUMBER(Datos!CI19/Datos!CJ19),Datos!CI19/Datos!CJ19," - ")</f>
        <v xml:space="preserve"> - </v>
      </c>
      <c r="AQ19" s="834">
        <f>IF(OR(ISNUMBER(FIND("01",Criterios!A8,1)),ISNUMBER(FIND("02",Criterios!A8,1)),ISNUMBER(FIND("03",Criterios!A8,1)),ISNUMBER(FIND("04",Criterios!A8,1))),(J19-Y19+K19)/(F19-K19),(I19-Y19+K19)/(F19-K19))</f>
        <v>-1.0209815078236131</v>
      </c>
      <c r="AR19" s="834">
        <f>IF(ISNUMBER((Datos!P19-Datos!Q19+O19)/(Datos!R19-Datos!P19+Datos!Q19-O19)),(Datos!P19-Datos!Q19+O19)/(Datos!R19-Datos!P19+Datos!Q19-O19)," - ")</f>
        <v>6.0768795929903897E-3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1318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1400.651753054032</v>
      </c>
      <c r="G21" s="552">
        <f>IF(ISNUMBER(STDEV(G8:G18)),STDEV(G8:G18),"-")</f>
        <v>1407.3540776933146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222.60967334477328</v>
      </c>
      <c r="AK21" s="252"/>
      <c r="AL21" s="252">
        <f>IF(ISNUMBER(STDEV(AL8:AL18)),STDEV(AL8:AL18),"-")</f>
        <v>0</v>
      </c>
      <c r="AM21" s="254">
        <f>IF(ISNUMBER(STDEV(AM8:AM18)),STDEV(AM8:AM18),"-")</f>
        <v>0</v>
      </c>
      <c r="AN21" s="539">
        <f>IF(ISNUMBER(STDEV(AN8:AN18)),STDEV(AN8:AN18),"-")</f>
        <v>0</v>
      </c>
      <c r="AO21" s="540">
        <f>IF(ISNUMBER(STDEV(AO8:AO18)),STDEV(AO8:AO18),"-")</f>
        <v>10.208981026519554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it7xv2HaYO2I5uvdDO2bFmaPq0kGe0S52C+P4RzvIpTUzW3bMZAseiRhuzju/SIupjQFtaVReWmBhZ1Dkb2m4w==" saltValue="IN8hZUFWwvRO1yaMy534c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CJVqibgNfiWsZp0IbjbF5MyuxPYlStoITAih71hQCPQvpdOqNwL+a4UXY8GAT/0UVo+XNfFlu1s5gUHjyo8eQ==" saltValue="US8UtFm67kBP3kdarvZuT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8W6zM0g+6o1qwY1kMmqegSVtadh0TVHMh+ZNcRDsgbd+q3Z12JA/yOyCmGHrsDEeSRh4TsZQyfejeXcNxcEGg==" saltValue="pq6iQZsRkU8Jv0a2IQ9g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TORREMOLINOS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0.2639386189258312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0.18663278725946728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eEUQm7tnHTM+FpBFl+9KU6PvNx9vYWLvWAXcySpvRllIAzFsy3bmh8cpNR5Ux9oCAK5FK6NIKB/tGdh4d5DD6A==" saltValue="lrr5RfYQCO8fwKcAtz4cC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qqAMv7al/mrRmpm+68tLo1Sh/kk8r+BVy2xcKjMCf/uq4F1ZEwV4mNnaDa/OfEITa/epuQlZYuD2RU4/CxQJA==" saltValue="tM2t3TY2OsK6kX92HMvD7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TORREMOLINOS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7685</v>
      </c>
      <c r="D9" s="404">
        <f>IF(ISNUMBER(C9/Datos!BH9),C9/Datos!BH9," - ")</f>
        <v>1537</v>
      </c>
      <c r="E9" s="403">
        <f>IF(ISNUMBER(IF(J_V="SI",Datos!J9,Datos!J9+Datos!Z9)),IF(J_V="SI",Datos!J9,Datos!J9+Datos!Z9)," - ")</f>
        <v>2099</v>
      </c>
      <c r="F9" s="404">
        <f>IF(ISNUMBER(E9/B9),E9/B9," - ")</f>
        <v>419.8</v>
      </c>
      <c r="G9" s="403">
        <f>IF(ISNUMBER(IF(J_V="SI",Datos!K9,Datos!K9+Datos!AA9)),IF(J_V="SI",Datos!K9,Datos!K9+Datos!AA9)," - ")</f>
        <v>1941</v>
      </c>
      <c r="H9" s="404">
        <f>IF(ISNUMBER(G9/B9),G9/B9," - ")</f>
        <v>388.2</v>
      </c>
      <c r="I9" s="403">
        <f>IF(ISNUMBER(IF(J_V="SI",Datos!L9,Datos!L9+Datos!AB9)),IF(J_V="SI",Datos!L9,Datos!L9+Datos!AB9)," - ")</f>
        <v>7837</v>
      </c>
      <c r="J9" s="404">
        <f>IF(ISNUMBER(I9/B9),I9/B9," - ")</f>
        <v>1567.4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197</v>
      </c>
      <c r="D10" s="404">
        <f>IF(ISNUMBER(C10/Datos!BH10),C10/Datos!BH10," - ")</f>
        <v>197</v>
      </c>
      <c r="E10" s="403">
        <f>IF(ISNUMBER(Datos!J10),Datos!J10," - ")</f>
        <v>27</v>
      </c>
      <c r="F10" s="404">
        <f>IF(ISNUMBER(E10/B10),E10/B10," - ")</f>
        <v>27</v>
      </c>
      <c r="G10" s="403">
        <f>IF(ISNUMBER(Datos!K10),Datos!K10," - ")</f>
        <v>14</v>
      </c>
      <c r="H10" s="404">
        <f>IF(ISNUMBER(G10/B10),G10/B10," - ")</f>
        <v>14</v>
      </c>
      <c r="I10" s="403">
        <f>IF(ISNUMBER(Datos!L10),Datos!L10," - ")</f>
        <v>206</v>
      </c>
      <c r="J10" s="404">
        <f>IF(ISNUMBER(I10/B10),I10/B10," - ")</f>
        <v>206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7882</v>
      </c>
      <c r="D13" s="850" t="str">
        <f>IF(ISNUMBER(C13/Datos!BI13),C13/Datos!BI13," - ")</f>
        <v xml:space="preserve"> - </v>
      </c>
      <c r="E13" s="849">
        <f>SUBTOTAL(9,E8:E12)</f>
        <v>2126</v>
      </c>
      <c r="F13" s="850">
        <f>IF(ISNUMBER(E13/B13),E13/B13," - ")</f>
        <v>425.2</v>
      </c>
      <c r="G13" s="849">
        <f>SUBTOTAL(9,G8:G12)</f>
        <v>1955</v>
      </c>
      <c r="H13" s="850">
        <f>IF(ISNUMBER(G13/B13),G13/B13," - ")</f>
        <v>391</v>
      </c>
      <c r="I13" s="849">
        <f>SUBTOTAL(9,I8:I12)</f>
        <v>8043</v>
      </c>
      <c r="J13" s="850">
        <f>IF(ISNUMBER(I13/B13),I13/B13," - ")</f>
        <v>1608.6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2582</v>
      </c>
      <c r="D15" s="404">
        <f>IF(ISNUMBER(C15/Datos!BH15),C15/Datos!BH15," - ")</f>
        <v>516.4</v>
      </c>
      <c r="E15" s="403">
        <f>IF(ISNUMBER(IF(D_I="SI",Datos!J15,Datos!J15+Datos!AD15)),IF(D_I="SI",Datos!J15,Datos!J15+Datos!AD15)," - ")</f>
        <v>2792</v>
      </c>
      <c r="F15" s="404">
        <f>IF(ISNUMBER(E15/B15),E15/B15," - ")</f>
        <v>558.4</v>
      </c>
      <c r="G15" s="403">
        <f>IF(ISNUMBER(IF(D_I="SI",Datos!K15,Datos!K15+Datos!AE15)),IF(D_I="SI",Datos!K15,Datos!K15+Datos!AE15)," - ")</f>
        <v>2634</v>
      </c>
      <c r="H15" s="404">
        <f>IF(ISNUMBER(G15/B15),G15/B15," - ")</f>
        <v>526.79999999999995</v>
      </c>
      <c r="I15" s="403">
        <f>IF(ISNUMBER(IF(D_I="SI",Datos!L15,Datos!L15+Datos!AF15)),IF(D_I="SI",Datos!L15,Datos!L15+Datos!AF15)," - ")</f>
        <v>2777</v>
      </c>
      <c r="J15" s="404">
        <f>IF(ISNUMBER(I15/B15),I15/B15," - ")</f>
        <v>555.4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516</v>
      </c>
      <c r="D17" s="404">
        <f>IF(ISNUMBER(C17/Datos!BH17),C17/Datos!BH17," - ")</f>
        <v>516</v>
      </c>
      <c r="E17" s="403">
        <f>IF(ISNUMBER(IF(D_I="SI",Datos!J17,Datos!J17+Datos!AD17)),IF(D_I="SI",Datos!J17,Datos!J17+Datos!AD17)," - ")</f>
        <v>312</v>
      </c>
      <c r="F17" s="404">
        <f>IF(ISNUMBER(E17/B17),E17/B17," - ")</f>
        <v>312</v>
      </c>
      <c r="G17" s="403">
        <f>IF(ISNUMBER(IF(D_I="SI",Datos!K17,Datos!K17+Datos!AE17)),IF(D_I="SI",Datos!K17,Datos!K17+Datos!AE17)," - ")</f>
        <v>223</v>
      </c>
      <c r="H17" s="404">
        <f>IF(ISNUMBER(G17/B17),G17/B17," - ")</f>
        <v>223</v>
      </c>
      <c r="I17" s="403">
        <f>IF(ISNUMBER(IF(D_I="SI",Datos!L17,Datos!L17+Datos!AF17)),IF(D_I="SI",Datos!L17,Datos!L17+Datos!AF17)," - ")</f>
        <v>624</v>
      </c>
      <c r="J17" s="404">
        <f>IF(ISNUMBER(I17/B17),I17/B17," - ")</f>
        <v>624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3098</v>
      </c>
      <c r="D18" s="850" t="str">
        <f>IF(ISNUMBER(C18/Datos!BI18),C18/Datos!BI18," - ")</f>
        <v xml:space="preserve"> - </v>
      </c>
      <c r="E18" s="849">
        <f>SUBTOTAL(9,E14:E17)</f>
        <v>3104</v>
      </c>
      <c r="F18" s="850">
        <f>IF(ISNUMBER(E18/B18),E18/B18," - ")</f>
        <v>620.79999999999995</v>
      </c>
      <c r="G18" s="849">
        <f>SUBTOTAL(9,G14:G17)</f>
        <v>2857</v>
      </c>
      <c r="H18" s="850">
        <f>IF(ISNUMBER(G18/B18),G18/B18," - ")</f>
        <v>571.4</v>
      </c>
      <c r="I18" s="849">
        <f>SUBTOTAL(9,I14:I17)</f>
        <v>3401</v>
      </c>
      <c r="J18" s="850">
        <f>IF(ISNUMBER(I18/B18),I18/B18," - ")</f>
        <v>680.2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10980</v>
      </c>
      <c r="D19" s="795" t="str">
        <f>IF(ISNUMBER(C19/Datos!BI19),C19/Datos!BI19," - ")</f>
        <v xml:space="preserve"> - </v>
      </c>
      <c r="E19" s="794">
        <f>SUBTOTAL(9,E9:E18)</f>
        <v>5230</v>
      </c>
      <c r="F19" s="795">
        <f>IF(ISNUMBER(E19/B19),E19/B19," - ")</f>
        <v>523</v>
      </c>
      <c r="G19" s="794">
        <f>SUBTOTAL(9,G9:G18)</f>
        <v>4812</v>
      </c>
      <c r="H19" s="795">
        <f>IF(ISNUMBER(G19/B19),G19/B19," - ")</f>
        <v>481.2</v>
      </c>
      <c r="I19" s="794">
        <f>SUBTOTAL(9,I9:I18)</f>
        <v>11444</v>
      </c>
      <c r="J19" s="795">
        <f>IF(ISNUMBER(I19/B19),I19/B19," - ")</f>
        <v>1144.4000000000001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ZYb4rDYrgxt32g4eHvs0jMzo8hFdXVMlDBMN9lB4q9EF/Pi949nUTII2UZpMRPR2X+RrB1318jicmnpTt7FqcA==" saltValue="j/aIMLF0EuCQ0eoRnJO/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TORREMOLINOS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193</v>
      </c>
      <c r="G10" s="684">
        <f>IF(ISNUMBER(Datos!I10),Datos!I10," - ")</f>
        <v>197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206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29.428571428571431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193</v>
      </c>
      <c r="G13" s="938">
        <f t="shared" si="0"/>
        <v>197</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0</v>
      </c>
      <c r="AE13" s="939">
        <f t="shared" si="1"/>
        <v>0</v>
      </c>
      <c r="AF13" s="939">
        <f t="shared" si="1"/>
        <v>206</v>
      </c>
      <c r="AG13" s="939">
        <f t="shared" si="1"/>
        <v>0</v>
      </c>
      <c r="AH13" s="939">
        <f t="shared" si="1"/>
        <v>0</v>
      </c>
      <c r="AI13" s="939">
        <f t="shared" si="1"/>
        <v>0</v>
      </c>
      <c r="AJ13" s="939">
        <f t="shared" si="1"/>
        <v>0</v>
      </c>
      <c r="AK13" s="939">
        <f t="shared" si="1"/>
        <v>0</v>
      </c>
      <c r="AL13" s="939">
        <f t="shared" si="1"/>
        <v>6</v>
      </c>
      <c r="AM13" s="939">
        <f t="shared" si="1"/>
        <v>4</v>
      </c>
      <c r="AN13" s="939">
        <f t="shared" si="1"/>
        <v>0</v>
      </c>
      <c r="AO13" s="939">
        <f t="shared" si="1"/>
        <v>0</v>
      </c>
      <c r="AP13" s="944">
        <f>IF(ISNUMBER(((Datos!L13/Datos!K13)*11)/factor_trimestre),((Datos!L13/Datos!K13)*11)/factor_trimestre," - ")</f>
        <v>8.464171122994653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-7.2538860103626937E-2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2.3808190409520478</v>
      </c>
      <c r="AQ18" s="944">
        <f>IF(ISNUMBER(((Datos!M18/Datos!L18)*11)/factor_trimestre),((Datos!M18/Datos!L18)*11)/factor_trimestre," - ")</f>
        <v>0.1505439576595119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0.12994350282485875</v>
      </c>
      <c r="AW18" s="946">
        <f>IF(ISNUMBER((Datos!Q18-Datos!R18)/(Datos!S18-Datos!Q18+Datos!R18)),(Datos!Q18-Datos!R18)/(Datos!S18-Datos!Q18+Datos!R18)," - ")</f>
        <v>-6.1812023708721422E-2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193</v>
      </c>
      <c r="G19" s="951">
        <f t="shared" si="4"/>
        <v>197</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0</v>
      </c>
      <c r="AE19" s="957">
        <f t="shared" si="5"/>
        <v>0</v>
      </c>
      <c r="AF19" s="958">
        <f t="shared" si="5"/>
        <v>206</v>
      </c>
      <c r="AG19" s="958">
        <f t="shared" si="5"/>
        <v>0</v>
      </c>
      <c r="AH19" s="958">
        <f t="shared" si="5"/>
        <v>0</v>
      </c>
      <c r="AI19" s="958">
        <f t="shared" si="5"/>
        <v>0</v>
      </c>
      <c r="AJ19" s="959">
        <f t="shared" si="5"/>
        <v>0</v>
      </c>
      <c r="AK19" s="959">
        <f t="shared" si="5"/>
        <v>0</v>
      </c>
      <c r="AL19" s="951">
        <f t="shared" si="5"/>
        <v>6</v>
      </c>
      <c r="AM19" s="951">
        <f t="shared" si="5"/>
        <v>4</v>
      </c>
      <c r="AN19" s="951">
        <f t="shared" si="5"/>
        <v>0</v>
      </c>
      <c r="AO19" s="951">
        <f t="shared" si="5"/>
        <v>0</v>
      </c>
      <c r="AP19" s="951">
        <f>IF(ISNUMBER(((Datos!L19/Datos!K19)*11)/factor_trimestre),((Datos!L19/Datos!K19)*11)/factor_trimestre," - ")</f>
        <v>4.7873915802834777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-7.2538860103626937E-2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6.0768795929903897E-3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131.33333333333334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111.42860195359776</v>
      </c>
      <c r="G21" s="737">
        <f>IF(ISNUMBER(STDEV(G8:G18)),STDEV(G8:G18),"-")</f>
        <v>113.73800303035627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3.4641016151377544</v>
      </c>
      <c r="AM21" s="736"/>
      <c r="AN21" s="736">
        <f>IF(ISNUMBER(STDEV(AN8:AN18)),STDEV(AN8:AN18),"-")</f>
        <v>0</v>
      </c>
      <c r="AO21" s="742">
        <f>IF(ISNUMBER(STDEV(AO8:AO18)),STDEV(AO8:AO18),"-")</f>
        <v>0</v>
      </c>
      <c r="AP21" s="779">
        <f>IF(ISNUMBER(STDEV(AP8:AP18)),STDEV(AP8:AP18),"-")</f>
        <v>14.189750772702865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gY4SVR9fxxtotHTdmCQ2tMpeeU2u/mCXK8OqMZX6pYFsTKH16vsHe1kPGEpyUQAhfXhxV1pxWNI4CkgMRFaZsQ==" saltValue="2dVKu51C+vzNlGD27q5l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TORREMOLINOS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8emm78T7u+Z44oAal+2PQCUD4PcuwQeaScl9BPVR6dMHSes2P66nVOXtWrLmxaBH3VwKFj0HF/4HGloIPUqz8w==" saltValue="ltl8yINe4SHNHAg3qigb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TORREMOLINOS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510</v>
      </c>
      <c r="E9" s="404">
        <f t="shared" ref="E9:E13" si="0">IF(ISNUMBER(D9/B9),D9/B9," - ")</f>
        <v>102</v>
      </c>
      <c r="F9" s="403">
        <f>IF(ISNUMBER(Datos!N9),Datos!N9," - ")</f>
        <v>780</v>
      </c>
      <c r="G9" s="404">
        <f t="shared" ref="G9:G13" si="1">IF(ISNUMBER(F9/B9),F9/B9," - ")</f>
        <v>156</v>
      </c>
      <c r="H9" s="403">
        <f>IF(ISNUMBER(Datos!O9),Datos!O9," - ")</f>
        <v>853</v>
      </c>
      <c r="I9" s="404">
        <f>IF(ISNUMBER(H9/B9),H9/B9," - ")</f>
        <v>170.6</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4</v>
      </c>
      <c r="G10" s="404">
        <f>IF(ISNUMBER(F10/B10),F10/B10," - ")</f>
        <v>4</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516</v>
      </c>
      <c r="E13" s="850">
        <f t="shared" si="0"/>
        <v>103.2</v>
      </c>
      <c r="F13" s="849">
        <f>SUBTOTAL(9,F9:F12)</f>
        <v>784</v>
      </c>
      <c r="G13" s="850">
        <f t="shared" si="1"/>
        <v>156.80000000000001</v>
      </c>
      <c r="H13" s="849">
        <f>SUBTOTAL(9,H9:H12)</f>
        <v>857</v>
      </c>
      <c r="I13" s="850">
        <f>IF(ISNUMBER(H13/B13),H13/B13," - ")</f>
        <v>171.4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229</v>
      </c>
      <c r="E15" s="404">
        <f t="shared" ref="E15:E18" si="3">IF(ISNUMBER(D15/B15),D15/B15," - ")</f>
        <v>45.8</v>
      </c>
      <c r="F15" s="403">
        <f>IF(ISNUMBER(Datos!N15),Datos!N15," - ")</f>
        <v>1868</v>
      </c>
      <c r="G15" s="404">
        <f t="shared" ref="G15:G18" si="4">IF(ISNUMBER(F15/B15),F15/B15," - ")</f>
        <v>373.6</v>
      </c>
      <c r="H15" s="403">
        <f>IF(ISNUMBER(Datos!O15),Datos!O15," - ")</f>
        <v>9</v>
      </c>
      <c r="I15" s="404">
        <f t="shared" ref="I15:I17" si="5">IF(ISNUMBER(H15/B15),H15/B15," - ")</f>
        <v>1.8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27</v>
      </c>
      <c r="E17" s="404">
        <f>IF(ISNUMBER(D17/B17),D17/B17," - ")</f>
        <v>27</v>
      </c>
      <c r="F17" s="403">
        <f>IF(ISNUMBER(Datos!N17),Datos!N17," - ")</f>
        <v>114</v>
      </c>
      <c r="G17" s="404">
        <f>IF(ISNUMBER(F17/B17),F17/B17," - ")</f>
        <v>114</v>
      </c>
      <c r="H17" s="403">
        <f>IF(ISNUMBER(Datos!O17),Datos!O17," - ")</f>
        <v>5</v>
      </c>
      <c r="I17" s="404">
        <f t="shared" si="5"/>
        <v>5</v>
      </c>
      <c r="BZ17" s="1186">
        <f>Datos!EZ17</f>
        <v>0</v>
      </c>
    </row>
    <row r="18" spans="1:78" ht="14.25" thickTop="1" thickBot="1">
      <c r="A18" s="848" t="str">
        <f>Datos!A18</f>
        <v>TOTAL</v>
      </c>
      <c r="B18" s="849">
        <f>Datos!AP18</f>
        <v>5</v>
      </c>
      <c r="C18" s="851">
        <f>Datos!AR18</f>
        <v>5</v>
      </c>
      <c r="D18" s="849">
        <f>SUBTOTAL(9,D15:D17)</f>
        <v>256</v>
      </c>
      <c r="E18" s="850">
        <f t="shared" si="3"/>
        <v>51.2</v>
      </c>
      <c r="F18" s="849">
        <f>SUBTOTAL(9,F15:F17)</f>
        <v>1982</v>
      </c>
      <c r="G18" s="850">
        <f t="shared" si="4"/>
        <v>396.4</v>
      </c>
      <c r="H18" s="849">
        <f>SUBTOTAL(9,H15:H17)</f>
        <v>14</v>
      </c>
      <c r="I18" s="850">
        <f>IF(ISNUMBER(H18/B18),H18/B18," - ")</f>
        <v>2.8</v>
      </c>
      <c r="BZ18" s="1186"/>
    </row>
    <row r="19" spans="1:78" ht="14.25" thickTop="1" thickBot="1">
      <c r="A19" s="793" t="str">
        <f>Datos!A19</f>
        <v>TOTAL JURISDICCIONES</v>
      </c>
      <c r="B19" s="794">
        <f>Datos!AP19</f>
        <v>10</v>
      </c>
      <c r="C19" s="794">
        <f>Datos!AR19</f>
        <v>10</v>
      </c>
      <c r="D19" s="794">
        <f>SUBTOTAL(9,D8:D18)</f>
        <v>772</v>
      </c>
      <c r="E19" s="795">
        <f>IF(ISNUMBER(D19/B19),D19/B19," - ")</f>
        <v>77.2</v>
      </c>
      <c r="F19" s="794">
        <f>SUBTOTAL(9,F8:F18)</f>
        <v>2766</v>
      </c>
      <c r="G19" s="795">
        <f>IF(ISNUMBER(F19/B19),F19/B19," - ")</f>
        <v>276.60000000000002</v>
      </c>
      <c r="H19" s="794">
        <f>SUBTOTAL(9,H8:H18)</f>
        <v>871</v>
      </c>
      <c r="I19" s="795">
        <f>IF(ISNUMBER(H19/B19),H19/B19," - ")</f>
        <v>87.1</v>
      </c>
    </row>
    <row r="22" spans="1:78">
      <c r="A22" s="391" t="str">
        <f>Criterios!A4</f>
        <v>Fecha Informe: 29 nov. 2024</v>
      </c>
    </row>
    <row r="27" spans="1:78">
      <c r="A27" s="414"/>
    </row>
  </sheetData>
  <sheetProtection algorithmName="SHA-512" hashValue="QOkAI/hPc+jJls+6tR31t9qW5xEmpjrXWqdNrSPBBtz4NiBsB4n8JZgkZqJ8OVNb719GyyClO7yPkbDJ3lamAA==" saltValue="5a4PNvj1bhIJiwqh2kcl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TORREMOLINOS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350</v>
      </c>
      <c r="C9" s="434">
        <f>IF(ISNUMBER(Datos!Q9),Datos!Q9," - ")</f>
        <v>337</v>
      </c>
      <c r="D9" s="408">
        <f>IF(ISNUMBER(Datos!R9),Datos!R9," - ")</f>
        <v>6837</v>
      </c>
    </row>
    <row r="10" spans="1:4">
      <c r="A10" s="402" t="str">
        <f>Datos!A10</f>
        <v>Jdos. Violencia contra la mujer</v>
      </c>
      <c r="B10" s="433">
        <f>IF(ISNUMBER(Datos!P10),Datos!P10," - ")</f>
        <v>8</v>
      </c>
      <c r="C10" s="434">
        <f>IF(ISNUMBER(Datos!Q10),Datos!Q10," - ")</f>
        <v>1</v>
      </c>
      <c r="D10" s="408">
        <f>IF(ISNUMBER(Datos!R10),Datos!R10," - ")</f>
        <v>82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358</v>
      </c>
      <c r="C13" s="853">
        <f>SUBTOTAL(9,C9:C12)</f>
        <v>338</v>
      </c>
      <c r="D13" s="851">
        <f>SUBTOTAL(9,D9:D12)</f>
        <v>6919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77</v>
      </c>
      <c r="C15" s="434">
        <f>IF(ISNUMBER(Datos!Q15),Datos!Q15," - ")</f>
        <v>49</v>
      </c>
      <c r="D15" s="408">
        <f>IF(ISNUMBER(Datos!R15),Datos!R15," - ")</f>
        <v>187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5</v>
      </c>
      <c r="D17" s="408">
        <f>IF(ISNUMBER(Datos!R17),Datos!R17," - ")</f>
        <v>13</v>
      </c>
    </row>
    <row r="18" spans="1:4" ht="14.25" thickTop="1" thickBot="1">
      <c r="A18" s="848" t="str">
        <f>Datos!A18</f>
        <v>TOTAL</v>
      </c>
      <c r="B18" s="849">
        <f>SUBTOTAL(9,B15:B17)</f>
        <v>77</v>
      </c>
      <c r="C18" s="853">
        <f>SUBTOTAL(9,C15:C17)</f>
        <v>54</v>
      </c>
      <c r="D18" s="851">
        <f>SUBTOTAL(9,D15:D17)</f>
        <v>200</v>
      </c>
    </row>
    <row r="19" spans="1:4" ht="16.5" customHeight="1" thickTop="1" thickBot="1">
      <c r="A19" s="793" t="str">
        <f>Datos!A19</f>
        <v>TOTAL JURISDICCIONES</v>
      </c>
      <c r="B19" s="798">
        <f>SUBTOTAL(9,B8:B18)</f>
        <v>435</v>
      </c>
      <c r="C19" s="799">
        <f>SUBTOTAL(9,C8:C18)</f>
        <v>392</v>
      </c>
      <c r="D19" s="800">
        <f>SUBTOTAL(9,D8:D18)</f>
        <v>7119</v>
      </c>
    </row>
    <row r="20" spans="1:4" ht="7.5" customHeight="1"/>
    <row r="21" spans="1:4" ht="6" customHeight="1"/>
    <row r="22" spans="1:4">
      <c r="A22" s="391" t="str">
        <f>Criterios!A4</f>
        <v>Fecha Informe: 29 nov. 2024</v>
      </c>
    </row>
    <row r="27" spans="1:4">
      <c r="A27" s="414"/>
    </row>
  </sheetData>
  <sheetProtection algorithmName="SHA-512" hashValue="mYg7jhfn5xd5WXFV/V6SU40U5GZjKNau2NmvrMSo/c40GR8xu0+cNBmFWGEOQa6DFAN42GU0x/bPMO2Pdv14Sw==" saltValue="li1aZq3k7Xadf/j/0HFF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TORREMOLINOS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0.14598866686549358</v>
      </c>
      <c r="C9" s="456">
        <f>IF(ISNUMBER(
   IF(J_V="SI",(Datos!J9-Datos!T9)/Datos!T9,(Datos!J9+Datos!Z9-(Datos!T9+Datos!AH9))/(Datos!T9+Datos!AH9))
     ),IF(J_V="SI",(Datos!J9-Datos!T9)/Datos!T9,(Datos!J9+Datos!Z9-(Datos!T9+Datos!AH9))/(Datos!T9+Datos!AH9))," - ")</f>
        <v>0.20701552616446234</v>
      </c>
      <c r="D9" s="456">
        <f>IF(ISNUMBER(
   IF(J_V="SI",(Datos!K9-Datos!U9)/Datos!U9,(Datos!K9+Datos!AA9-(Datos!U9+Datos!AI9))/(Datos!U9+Datos!AI9))
     ),IF(J_V="SI",(Datos!K9-Datos!U9)/Datos!U9,(Datos!K9+Datos!AA9-(Datos!U9+Datos!AI9))/(Datos!U9+Datos!AI9))," - ")</f>
        <v>0.19299323909035035</v>
      </c>
      <c r="E9" s="456">
        <f>IF(ISNUMBER(
   IF(J_V="SI",(Datos!L9-Datos!V9)/Datos!V9,(Datos!L9+Datos!AB9-(Datos!V9+Datos!AJ9))/(Datos!V9+Datos!AJ9))
     ),IF(J_V="SI",(Datos!L9-Datos!V9)/Datos!V9,(Datos!L9+Datos!AB9-(Datos!V9+Datos!AJ9))/(Datos!V9+Datos!AJ9))," - ")</f>
        <v>0.1494573188618363</v>
      </c>
      <c r="F9" s="456">
        <f>IF(ISNUMBER((Datos!M9-Datos!W9)/Datos!W9),(Datos!M9-Datos!W9)/Datos!W9," - ")</f>
        <v>0.51335311572700293</v>
      </c>
      <c r="G9" s="457">
        <f>IF(ISNUMBER((Datos!N9-Datos!X9)/Datos!X9),(Datos!N9-Datos!X9)/Datos!X9," - ")</f>
        <v>0.14705882352941177</v>
      </c>
      <c r="H9" s="455">
        <f>IF(ISNUMBER(((NºAsuntos!G9/NºAsuntos!E9)-Datos!BD9)/Datos!BD9),((NºAsuntos!G9/NºAsuntos!E9)-Datos!BD9)/Datos!BD9," - ")</f>
        <v>-1.1617321210996069E-2</v>
      </c>
      <c r="I9" s="456">
        <f>IF(ISNUMBER(((NºAsuntos!I9/NºAsuntos!G9)-Datos!BE9)/Datos!BE9),((NºAsuntos!I9/NºAsuntos!G9)-Datos!BE9)/Datos!BE9," - ")</f>
        <v>-3.6493015049867204E-2</v>
      </c>
      <c r="J9" s="461">
        <f>IF(ISNUMBER((('Resol  Asuntos'!D9/NºAsuntos!G9)-Datos!BF9)/Datos!BF9),(('Resol  Asuntos'!D9/NºAsuntos!G9)-Datos!BF9)/Datos!BF9," - ")</f>
        <v>-0.3713292117465225</v>
      </c>
      <c r="K9" s="462">
        <f>IF(ISNUMBER((((NºAsuntos!C9+NºAsuntos!E9)/NºAsuntos!G9)-Datos!BG9)/Datos!BG9),(((NºAsuntos!C9+NºAsuntos!E9)/NºAsuntos!G9)-Datos!BG9)/Datos!BG9," - ")</f>
        <v>-2.8866786300055413E-2</v>
      </c>
    </row>
    <row r="10" spans="1:11">
      <c r="A10" s="402" t="str">
        <f>Datos!A10</f>
        <v>Jdos. Violencia contra la mujer</v>
      </c>
      <c r="B10" s="455">
        <f>IF(ISNUMBER((Datos!I10-Datos!S10)/Datos!S10),(Datos!I10-Datos!S10)/Datos!S10," - ")</f>
        <v>0.36805555555555558</v>
      </c>
      <c r="C10" s="456">
        <f>IF(ISNUMBER((Datos!J10-Datos!T10)/Datos!T10),(Datos!J10-Datos!T10)/Datos!T10," - ")</f>
        <v>0.08</v>
      </c>
      <c r="D10" s="456">
        <f>IF(ISNUMBER((Datos!K10-Datos!U10)/Datos!U10),(Datos!K10-Datos!U10)/Datos!U10," - ")</f>
        <v>0</v>
      </c>
      <c r="E10" s="456">
        <f>IF(ISNUMBER((Datos!L10-Datos!V10)/Datos!V10),(Datos!L10-Datos!V10)/Datos!V10," - ")</f>
        <v>0.32903225806451614</v>
      </c>
      <c r="F10" s="456">
        <f>IF(ISNUMBER((Datos!M10-Datos!W10)/Datos!W10),(Datos!M10-Datos!W10)/Datos!W10," - ")</f>
        <v>0</v>
      </c>
      <c r="G10" s="457">
        <f>IF(ISNUMBER((Datos!N10-Datos!X10)/Datos!X10),(Datos!N10-Datos!X10)/Datos!X10," - ")</f>
        <v>0.33333333333333331</v>
      </c>
      <c r="H10" s="455">
        <f>IF(ISNUMBER(((NºAsuntos!G10/NºAsuntos!E10)-Datos!BD10)/Datos!BD10),((NºAsuntos!G10/NºAsuntos!E10)-Datos!BD10)/Datos!BD10," - ")</f>
        <v>-7.4074074074074209E-2</v>
      </c>
      <c r="I10" s="456">
        <f>IF(ISNUMBER(((NºAsuntos!I10/NºAsuntos!G10)-Datos!BE10)/Datos!BE10),((NºAsuntos!I10/NºAsuntos!G10)-Datos!BE10)/Datos!BE10," - ")</f>
        <v>0.32903225806451608</v>
      </c>
      <c r="J10" s="461">
        <f>IF(ISNUMBER((('Resol  Asuntos'!D10/NºAsuntos!G10)-Datos!BF10)/Datos!BF10),(('Resol  Asuntos'!D10/NºAsuntos!G10)-Datos!BF10)/Datos!BF10," - ")</f>
        <v>0</v>
      </c>
      <c r="K10" s="462">
        <f>IF(ISNUMBER((((NºAsuntos!C10+NºAsuntos!E10)/NºAsuntos!G10)-Datos!BG10)/Datos!BG10),(((NºAsuntos!C10+NºAsuntos!E10)/NºAsuntos!G10)-Datos!BG10)/Datos!BG10," - ")</f>
        <v>0.32544378698224857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0.15065693430656935</v>
      </c>
      <c r="C13" s="855">
        <f>IF(ISNUMBER(
   IF(J_V="SI",(Datos!J13-Datos!T13)/Datos!T13,(Datos!J13+Datos!Z13-(Datos!T13+Datos!AH13))/(Datos!T13+Datos!AH13))
     ),IF(J_V="SI",(Datos!J13-Datos!T13)/Datos!T13,(Datos!J13+Datos!Z13-(Datos!T13+Datos!AH13))/(Datos!T13+Datos!AH13))," - ")</f>
        <v>0.20521541950113378</v>
      </c>
      <c r="D13" s="855">
        <f>IF(ISNUMBER(
   IF(J_V="SI",(Datos!K13-Datos!U13)/Datos!U13,(Datos!K13+Datos!AA13-(Datos!U13+Datos!AI13))/(Datos!U13+Datos!AI13))
     ),IF(J_V="SI",(Datos!K13-Datos!U13)/Datos!U13,(Datos!K13+Datos!AA13-(Datos!U13+Datos!AI13))/(Datos!U13+Datos!AI13))," - ")</f>
        <v>0.19134673979280925</v>
      </c>
      <c r="E13" s="855">
        <f>IF(ISNUMBER(
   IF(J_V="SI",(Datos!L13-Datos!V13)/Datos!V13,(Datos!L13+Datos!AB13-(Datos!V13+Datos!AJ13))/(Datos!V13+Datos!AJ13))
     ),IF(J_V="SI",(Datos!L13-Datos!V13)/Datos!V13,(Datos!L13+Datos!AB13-(Datos!V13+Datos!AJ13))/(Datos!V13+Datos!AJ13))," - ")</f>
        <v>0.1534490176394665</v>
      </c>
      <c r="F13" s="856">
        <f>IF(ISNUMBER((Datos!M13-Datos!W13)/Datos!W13),(Datos!M13-Datos!W13)/Datos!W13," - ")</f>
        <v>0.50437317784256563</v>
      </c>
      <c r="G13" s="857">
        <f>IF(ISNUMBER((Datos!N13-Datos!X13)/Datos!X13),(Datos!N13-Datos!X13)/Datos!X13," - ")</f>
        <v>0.14787701317715959</v>
      </c>
      <c r="H13" s="857">
        <f>IF(ISNUMBER(((NºAsuntos!G13/NºAsuntos!E13)-Datos!BD13)/Datos!BD13),((NºAsuntos!G13/NºAsuntos!E13)-Datos!BD13)/Datos!BD13," - ")</f>
        <v>-1.1507220604649244E-2</v>
      </c>
      <c r="I13" s="857">
        <f>IF(ISNUMBER(((NºAsuntos!I13/NºAsuntos!G13)-Datos!BE13)/Datos!BE13),((NºAsuntos!I13/NºAsuntos!G13)-Datos!BE13)/Datos!BE13," - ")</f>
        <v>-3.1810824579864616E-2</v>
      </c>
      <c r="J13" s="857">
        <f>IF(ISNUMBER((('Resol  Asuntos'!D13/NºAsuntos!G13)-Datos!BF13)/Datos!BF13),(('Resol  Asuntos'!D13/NºAsuntos!G13)-Datos!BF13)/Datos!BF13," - ")</f>
        <v>-0.36862496551415597</v>
      </c>
      <c r="K13" s="857">
        <f>IF(ISNUMBER((((NºAsuntos!C13+NºAsuntos!E13)/NºAsuntos!G13)-Datos!BG13)/Datos!BG13),(((NºAsuntos!C13+NºAsuntos!E13)/NºAsuntos!G13)-Datos!BG13)/Datos!BG13," - ")</f>
        <v>-2.4776296482796969E-2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0.38445040214477211</v>
      </c>
      <c r="C15" s="456">
        <f>IF(ISNUMBER(
   IF(D_I="SI",(Datos!J15-Datos!T15)/Datos!T15,(Datos!J15+Datos!AD15-(Datos!T15+Datos!AL15))/(Datos!T15+Datos!AL15))
     ),IF(D_I="SI",(Datos!J15-Datos!T15)/Datos!T15,(Datos!J15+Datos!AD15-(Datos!T15+Datos!AL15))/(Datos!T15+Datos!AL15))," - ")</f>
        <v>-0.35385327470492939</v>
      </c>
      <c r="D15" s="456">
        <f>IF(ISNUMBER(
   IF(D_I="SI",(Datos!K15-Datos!U15)/Datos!U15,(Datos!K15+Datos!AE15-(Datos!U15+Datos!AM15))/(Datos!U15+Datos!AM15))
     ),IF(D_I="SI",(Datos!K15-Datos!U15)/Datos!U15,(Datos!K15+Datos!AE15-(Datos!U15+Datos!AM15))/(Datos!U15+Datos!AM15))," - ")</f>
        <v>-0.31902792140641156</v>
      </c>
      <c r="E15" s="456">
        <f>IF(ISNUMBER(
   IF(D_I="SI",(Datos!L15-Datos!V15)/Datos!V15,(Datos!L15+Datos!AF15-(Datos!V15+Datos!AN15))/(Datos!V15+Datos!AN15))
     ),IF(D_I="SI",(Datos!L15-Datos!V15)/Datos!V15,(Datos!L15+Datos!AF15-(Datos!V15+Datos!AN15))/(Datos!V15+Datos!AN15))," - ")</f>
        <v>0.19133419133419133</v>
      </c>
      <c r="F15" s="456">
        <f>IF(ISNUMBER((Datos!M15-Datos!W15)/Datos!W15),(Datos!M15-Datos!W15)/Datos!W15," - ")</f>
        <v>-9.8425196850393706E-2</v>
      </c>
      <c r="G15" s="457">
        <f>IF(ISNUMBER((Datos!N15-Datos!X15)/Datos!X15),(Datos!N15-Datos!X15)/Datos!X15," - ")</f>
        <v>-0.36267485499829411</v>
      </c>
      <c r="H15" s="455">
        <f>IF(ISNUMBER(((NºAsuntos!G15/NºAsuntos!E15)-Datos!BD15)/Datos!BD15),((NºAsuntos!G15/NºAsuntos!E15)-Datos!BD15)/Datos!BD15," - ")</f>
        <v>5.3896974069804933E-2</v>
      </c>
      <c r="I15" s="456">
        <f>IF(ISNUMBER(((NºAsuntos!I15/NºAsuntos!G15)-Datos!BE15)/Datos!BE15),((NºAsuntos!I15/NºAsuntos!G15)-Datos!BE15)/Datos!BE15," - ")</f>
        <v>0.74946114353859228</v>
      </c>
      <c r="J15" s="461">
        <f>IF(ISNUMBER((('Resol  Asuntos'!D15/NºAsuntos!G15)-Datos!BF15)/Datos!BF15),(('Resol  Asuntos'!D15/NºAsuntos!G15)-Datos!BF15)/Datos!BF15," - ")</f>
        <v>0.32395267220299051</v>
      </c>
      <c r="K15" s="462">
        <f>IF(ISNUMBER((((NºAsuntos!C15+NºAsuntos!E15)/NºAsuntos!G15)-Datos!BG15)/Datos!BG15),(((NºAsuntos!C15+NºAsuntos!E15)/NºAsuntos!G15)-Datos!BG15)/Datos!BG15," - ")</f>
        <v>0.27572903862814141</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0.47008547008547008</v>
      </c>
      <c r="C17" s="456">
        <f>IF(ISNUMBER(
   IF(D_I="SI",(Datos!J17-Datos!T17)/Datos!T17,(Datos!J17+Datos!AD17-(Datos!T17+Datos!AL17))/(Datos!T17+Datos!AL17))
     ),IF(D_I="SI",(Datos!J17-Datos!T17)/Datos!T17,(Datos!J17+Datos!AD17-(Datos!T17+Datos!AL17))/(Datos!T17+Datos!AL17))," - ")</f>
        <v>2.6315789473684209E-2</v>
      </c>
      <c r="D17" s="456">
        <f>IF(ISNUMBER(
   IF(D_I="SI",(Datos!K17-Datos!U17)/Datos!U17,(Datos!K17+Datos!AE17-(Datos!U17+Datos!AM17))/(Datos!U17+Datos!AM17))
     ),IF(D_I="SI",(Datos!K17-Datos!U17)/Datos!U17,(Datos!K17+Datos!AE17-(Datos!U17+Datos!AM17))/(Datos!U17+Datos!AM17))," - ")</f>
        <v>-0.16479400749063669</v>
      </c>
      <c r="E17" s="456">
        <f>IF(ISNUMBER(
   IF(D_I="SI",(Datos!L17-Datos!V17)/Datos!V17,(Datos!L17+Datos!AF17-(Datos!V17+Datos!AN17))/(Datos!V17+Datos!AN17))
     ),IF(D_I="SI",(Datos!L17-Datos!V17)/Datos!V17,(Datos!L17+Datos!AF17-(Datos!V17+Datos!AN17))/(Datos!V17+Datos!AN17))," - ")</f>
        <v>0.59590792838874684</v>
      </c>
      <c r="F17" s="456">
        <f>IF(ISNUMBER((Datos!M17-Datos!W17)/Datos!W17),(Datos!M17-Datos!W17)/Datos!W17," - ")</f>
        <v>-6.8965517241379309E-2</v>
      </c>
      <c r="G17" s="457">
        <f>IF(ISNUMBER((Datos!N17-Datos!X17)/Datos!X17),(Datos!N17-Datos!X17)/Datos!X17," - ")</f>
        <v>-0.24</v>
      </c>
      <c r="H17" s="455">
        <f>IF(ISNUMBER(((NºAsuntos!G17/NºAsuntos!E17)-Datos!BD17)/Datos!BD17),((NºAsuntos!G17/NºAsuntos!E17)-Datos!BD17)/Datos!BD17," - ")</f>
        <v>-0.18620954576010754</v>
      </c>
      <c r="I17" s="456">
        <f>IF(ISNUMBER(((NºAsuntos!I17/NºAsuntos!G17)-Datos!BE17)/Datos!BE17),((NºAsuntos!I17/NºAsuntos!G17)-Datos!BE17)/Datos!BE17," - ")</f>
        <v>0.91079559138921706</v>
      </c>
      <c r="J17" s="461">
        <f>IF(ISNUMBER((('Resol  Asuntos'!D17/NºAsuntos!G17)-Datos!BF17)/Datos!BF17),(('Resol  Asuntos'!D17/NºAsuntos!G17)-Datos!BF17)/Datos!BF17," - ")</f>
        <v>0.11473635379619608</v>
      </c>
      <c r="K17" s="462">
        <f>IF(ISNUMBER((((NºAsuntos!C17+NºAsuntos!E17)/NºAsuntos!G17)-Datos!BG17)/Datos!BG17),(((NºAsuntos!C17+NºAsuntos!E17)/NºAsuntos!G17)-Datos!BG17)/Datos!BG17," - ")</f>
        <v>0.51354533940369018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0.39801444043321299</v>
      </c>
      <c r="C18" s="855">
        <f>IF(ISNUMBER(
   IF(Criterios!B14="SI",(Datos!J18-Datos!T18)/Datos!T18,(Datos!J18+Datos!AD18-(Datos!T18+Datos!AL18))/(Datos!T18+Datos!AL18))
     ),IF(Criterios!B14="SI",(Datos!J18-Datos!T18)/Datos!T18,(Datos!J18+Datos!AD18-(Datos!T18+Datos!AL18))/(Datos!T18+Datos!AL18))," - ")</f>
        <v>-0.32886486486486488</v>
      </c>
      <c r="D18" s="855">
        <f>IF(ISNUMBER(
   IF(Criterios!B14="SI",(Datos!K18-Datos!U18)/Datos!U18,(Datos!K18+Datos!AE18-(Datos!U18+Datos!AM18))/(Datos!U18+Datos!AM18))
     ),IF(Criterios!B14="SI",(Datos!K18-Datos!U18)/Datos!U18,(Datos!K18+Datos!AE18-(Datos!U18+Datos!AM18))/(Datos!U18+Datos!AM18))," - ")</f>
        <v>-0.3090689238210399</v>
      </c>
      <c r="E18" s="855">
        <f>IF(ISNUMBER(
   IF(Criterios!B14="SI",(Datos!L18-Datos!V18)/Datos!V18,(Datos!L18+Datos!AF18-(Datos!V18+Datos!AN18))/(Datos!V18+Datos!AN18))
     ),IF(Criterios!B14="SI",(Datos!L18-Datos!V18)/Datos!V18,(Datos!L18+Datos!AF18-(Datos!V18+Datos!AN18))/(Datos!V18+Datos!AN18))," - ")</f>
        <v>0.24944893460690667</v>
      </c>
      <c r="F18" s="856">
        <f>IF(ISNUMBER((Datos!M18-Datos!W18)/Datos!W18),(Datos!M18-Datos!W18)/Datos!W18," - ")</f>
        <v>-9.5406360424028266E-2</v>
      </c>
      <c r="G18" s="857">
        <f>IF(ISNUMBER((Datos!N18-Datos!X18)/Datos!X18),(Datos!N18-Datos!X18)/Datos!X18," - ")</f>
        <v>-0.35670236936059718</v>
      </c>
      <c r="H18" s="857">
        <f>IF(ISNUMBER(((NºAsuntos!G18/NºAsuntos!E18)-Datos!BD18)/Datos!BD18),((NºAsuntos!G18/NºAsuntos!E18)-Datos!BD18)/Datos!BD18," - ")</f>
        <v>2.9496207257632207E-2</v>
      </c>
      <c r="I18" s="857">
        <f>IF(ISNUMBER(((NºAsuntos!I18/NºAsuntos!G18)-Datos!BE18)/Datos!BE18),((NºAsuntos!I18/NºAsuntos!G18)-Datos!BE18)/Datos!BE18," - ")</f>
        <v>0.80835538837926468</v>
      </c>
      <c r="J18" s="857">
        <f>IF(ISNUMBER((('Resol  Asuntos'!D18/NºAsuntos!G18)-Datos!BF18)/Datos!BF18),(('Resol  Asuntos'!D18/NºAsuntos!G18)-Datos!BF18)/Datos!BF18," - ")</f>
        <v>0.30923860680666537</v>
      </c>
      <c r="K18" s="857">
        <f>IF(ISNUMBER((((NºAsuntos!C18+NºAsuntos!E18)/NºAsuntos!G18)-Datos!BG18)/Datos!BG18),(((NºAsuntos!C18+NºAsuntos!E18)/NºAsuntos!G18)-Datos!BG18)/Datos!BG18," - ")</f>
        <v>0.31213175188798914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0.21111846459298478</v>
      </c>
      <c r="C19" s="802">
        <f>IF(ISNUMBER(
   IF(J_V="SI",(Datos!J19-Datos!T19)/Datos!T19,(Datos!J19+Datos!Z19-(Datos!T19+Datos!AH19))/(Datos!T19+Datos!AH19))
     ),IF(J_V="SI",(Datos!J19-Datos!T19)/Datos!T19,(Datos!J19+Datos!Z19-(Datos!T19+Datos!AH19))/(Datos!T19+Datos!AH19))," - ")</f>
        <v>-0.18140554077320395</v>
      </c>
      <c r="D19" s="802">
        <f>IF(ISNUMBER(
   IF(J_V="SI",(Datos!K19-Datos!U19)/Datos!U19,(Datos!K19+Datos!AA19-(Datos!U19+Datos!AI19))/(Datos!U19+Datos!AI19))
     ),IF(J_V="SI",(Datos!K19-Datos!U19)/Datos!U19,(Datos!K19+Datos!AA19-(Datos!U19+Datos!AI19))/(Datos!U19+Datos!AI19))," - ")</f>
        <v>-0.16689750692520774</v>
      </c>
      <c r="E19" s="802">
        <f>IF(ISNUMBER(
   IF(J_V="SI",(Datos!L19-Datos!V19)/Datos!V19,(Datos!L19+Datos!AB19-(Datos!V19+Datos!AJ19))/(Datos!V19+Datos!AJ19))
     ),IF(J_V="SI",(Datos!L19-Datos!V19)/Datos!V19,(Datos!L19+Datos!AB19-(Datos!V19+Datos!AJ19))/(Datos!V19+Datos!AJ19))," - ")</f>
        <v>0.18040226921093347</v>
      </c>
      <c r="F19" s="803">
        <f>IF(ISNUMBER((Datos!M19-Datos!W19)/Datos!W19),(Datos!M19-Datos!W19)/Datos!W19," - ")</f>
        <v>0.23322683706070288</v>
      </c>
      <c r="G19" s="804">
        <f>IF(ISNUMBER((Datos!N19-Datos!X19)/Datos!X19),(Datos!N19-Datos!X19)/Datos!X19," - ")</f>
        <v>-0.26514346439957492</v>
      </c>
      <c r="H19" s="805">
        <f>IF(ISNUMBER((Tasas!B19-Datos!BD19)/Datos!BD19),(Tasas!B19-Datos!BD19)/Datos!BD19," - ")</f>
        <v>1.7723102916796837E-2</v>
      </c>
      <c r="I19" s="806">
        <f>IF(ISNUMBER((Tasas!C19-Datos!BE19)/Datos!BE19),(Tasas!C19-Datos!BE19)/Datos!BE19," - ")</f>
        <v>0.41687520926067156</v>
      </c>
      <c r="J19" s="807">
        <f>IF(ISNUMBER((Tasas!D19-Datos!BF19)/Datos!BF19),(Tasas!D19-Datos!BF19)/Datos!BF19," - ")</f>
        <v>-4.3697944680781732E-2</v>
      </c>
      <c r="K19" s="807">
        <f>IF(ISNUMBER((Tasas!E19-Datos!BG19)/Datos!BG19),(Tasas!E19-Datos!BG19)/Datos!BG19," - ")</f>
        <v>0.25897055054588264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1OcTJuUPxc7JwQ2rd5vs6Z1nRpGhs5b9RFDy5KMhkDOl2zN3ADKJUnuET6WCCi2KwCV5Zbp98GpWRm7eFx9uA==" saltValue="LoV0oLt321gsbk87O12K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TORREMOLINOS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0.92472606002858504</v>
      </c>
      <c r="C9" s="443">
        <f>IF(ISNUMBER(NºAsuntos!I9/NºAsuntos!G9),NºAsuntos!I9/NºAsuntos!G9," - ")</f>
        <v>4.0376094796496655</v>
      </c>
      <c r="D9" s="444">
        <f>IF(ISNUMBER('Resol  Asuntos'!D9/NºAsuntos!G9),'Resol  Asuntos'!D9/NºAsuntos!G9," - ")</f>
        <v>0.26275115919629055</v>
      </c>
      <c r="E9" s="445">
        <f>IF(ISNUMBER((NºAsuntos!C9+NºAsuntos!E9)/NºAsuntos!G9),(NºAsuntos!C9+NºAsuntos!E9)/NºAsuntos!G9," - ")</f>
        <v>5.0407006697578565</v>
      </c>
      <c r="G9" s="463"/>
    </row>
    <row r="10" spans="1:7">
      <c r="A10" s="402" t="str">
        <f>Datos!A10</f>
        <v>Jdos. Violencia contra la mujer</v>
      </c>
      <c r="B10" s="442">
        <f>IF(ISNUMBER(NºAsuntos!G10/NºAsuntos!E10),NºAsuntos!G10/NºAsuntos!E10," - ")</f>
        <v>0.51851851851851849</v>
      </c>
      <c r="C10" s="443">
        <f>IF(ISNUMBER(NºAsuntos!I10/NºAsuntos!G10),NºAsuntos!I10/NºAsuntos!G10," - ")</f>
        <v>14.714285714285714</v>
      </c>
      <c r="D10" s="444">
        <f>IF(ISNUMBER('Resol  Asuntos'!D10/NºAsuntos!G10),'Resol  Asuntos'!D10/NºAsuntos!G10," - ")</f>
        <v>0.42857142857142855</v>
      </c>
      <c r="E10" s="445">
        <f>IF(ISNUMBER((NºAsuntos!C10+NºAsuntos!E10)/NºAsuntos!G10),(NºAsuntos!C10+NºAsuntos!E10)/NºAsuntos!G10," - ")</f>
        <v>16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0.91956726246472253</v>
      </c>
      <c r="C13" s="859">
        <f>IF(ISNUMBER(NºAsuntos!I13/NºAsuntos!G13),NºAsuntos!I13/NºAsuntos!G13," - ")</f>
        <v>4.1140664961636828</v>
      </c>
      <c r="D13" s="860">
        <f>IF(ISNUMBER('Resol  Asuntos'!D13/NºAsuntos!G13),'Resol  Asuntos'!D13/NºAsuntos!G13," - ")</f>
        <v>0.2639386189258312</v>
      </c>
      <c r="E13" s="861">
        <f>IF(ISNUMBER((NºAsuntos!C13+NºAsuntos!E13)/NºAsuntos!G13),(NºAsuntos!C13+NºAsuntos!E13)/NºAsuntos!G13," - ")</f>
        <v>5.1191815856777492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0.94340974212034379</v>
      </c>
      <c r="C15" s="443">
        <f>IF(ISNUMBER(NºAsuntos!I15/NºAsuntos!G15),NºAsuntos!I15/NºAsuntos!G15," - ")</f>
        <v>1.054290053151101</v>
      </c>
      <c r="D15" s="444">
        <f>IF(ISNUMBER('Resol  Asuntos'!D15/NºAsuntos!G15),'Resol  Asuntos'!D15/NºAsuntos!G15," - ")</f>
        <v>8.6940015186028854E-2</v>
      </c>
      <c r="E15" s="445">
        <f>IF(ISNUMBER((NºAsuntos!C15+NºAsuntos!E15)/NºAsuntos!G15),(NºAsuntos!C15+NºAsuntos!E15)/NºAsuntos!G15," - ")</f>
        <v>2.0402429764616552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0.71474358974358976</v>
      </c>
      <c r="C17" s="443">
        <f>IF(ISNUMBER(NºAsuntos!I17/NºAsuntos!G17),NºAsuntos!I17/NºAsuntos!G17," - ")</f>
        <v>2.7982062780269059</v>
      </c>
      <c r="D17" s="444">
        <f>IF(ISNUMBER('Resol  Asuntos'!D17/NºAsuntos!G17),'Resol  Asuntos'!D17/NºAsuntos!G17," - ")</f>
        <v>0.1210762331838565</v>
      </c>
      <c r="E17" s="445">
        <f>IF(ISNUMBER((NºAsuntos!C17+NºAsuntos!E17)/NºAsuntos!G17),(NºAsuntos!C17+NºAsuntos!E17)/NºAsuntos!G17," - ")</f>
        <v>3.7130044843049328</v>
      </c>
      <c r="G17" s="463"/>
    </row>
    <row r="18" spans="1:7" ht="14.25" thickTop="1" thickBot="1">
      <c r="A18" s="848" t="str">
        <f>Datos!A18</f>
        <v>TOTAL</v>
      </c>
      <c r="B18" s="858">
        <f>IF(ISNUMBER(NºAsuntos!G18/NºAsuntos!E18),NºAsuntos!G18/NºAsuntos!E18," - ")</f>
        <v>0.92042525773195871</v>
      </c>
      <c r="C18" s="859">
        <f>IF(ISNUMBER(NºAsuntos!I18/NºAsuntos!G18),NºAsuntos!I18/NºAsuntos!G18," - ")</f>
        <v>1.1904095204760239</v>
      </c>
      <c r="D18" s="862">
        <f>IF(ISNUMBER('Resol  Asuntos'!D18/NºAsuntos!G18),'Resol  Asuntos'!D18/NºAsuntos!G18," - ")</f>
        <v>8.9604480224011199E-2</v>
      </c>
      <c r="E18" s="861">
        <f>IF(ISNUMBER((NºAsuntos!C18+NºAsuntos!E18)/NºAsuntos!G18),(NºAsuntos!C18+NºAsuntos!E18)/NºAsuntos!G18," - ")</f>
        <v>2.1708085404270214</v>
      </c>
      <c r="G18" s="463"/>
    </row>
    <row r="19" spans="1:7" ht="15.75" customHeight="1" thickTop="1" thickBot="1">
      <c r="A19" s="793" t="str">
        <f>Datos!A19</f>
        <v>TOTAL JURISDICCIONES</v>
      </c>
      <c r="B19" s="808">
        <f>IF(ISNUMBER(NºAsuntos!G19/NºAsuntos!E19),NºAsuntos!G19/NºAsuntos!E19," - ")</f>
        <v>0.92007648183556401</v>
      </c>
      <c r="C19" s="809">
        <f>IF(ISNUMBER(NºAsuntos!I19/NºAsuntos!G19),NºAsuntos!I19/NºAsuntos!G19," - ")</f>
        <v>2.3782211138819616</v>
      </c>
      <c r="D19" s="810">
        <f>IF(ISNUMBER('Resol  Asuntos'!D19/NºAsuntos!G19),'Resol  Asuntos'!D19/NºAsuntos!G19," - ")</f>
        <v>0.16043225270157938</v>
      </c>
      <c r="E19" s="811">
        <f>IF(ISNUMBER((NºAsuntos!C19+NºAsuntos!E19)/NºAsuntos!G19),(NºAsuntos!C19+NºAsuntos!E19)/NºAsuntos!G19," - ")</f>
        <v>3.3686616791354944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s6KqUbMNDpgirlt4NkiqzUbpNmZHshtNgVISCIf3CNvqBoQTrqID2lveZ+e19M92sBgLkc8v9Tm4SXMMOdhQ==" saltValue="rZWYTDQmHmPcxQWXJJKJ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TORREMOLINOS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350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337</v>
      </c>
      <c r="Y9" s="334">
        <f>SUM(W9:X9)</f>
        <v>337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6837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510</v>
      </c>
      <c r="AJ9" s="229" t="str">
        <f>IF(ISNUMBER(Datos!BW9),Datos!BW9," - ")</f>
        <v xml:space="preserve"> - </v>
      </c>
      <c r="AK9" s="228" t="str">
        <f>IF(ISNUMBER(Datos!BX9),Datos!BX9," - ")</f>
        <v xml:space="preserve"> - </v>
      </c>
      <c r="AL9" s="243">
        <f>IF(ISNUMBER(NºAsuntos!G9/NºAsuntos!E9),NºAsuntos!G9/NºAsuntos!E9," - ")</f>
        <v>0.92472606002858504</v>
      </c>
      <c r="AM9" s="260">
        <f>IF(ISNUMBER(((NºAsuntos!I9/NºAsuntos!G9)*11)/factor_trimestre),((NºAsuntos!I9/NºAsuntos!G9)*11)/factor_trimestre," - ")</f>
        <v>8.0752189592993311</v>
      </c>
      <c r="AN9" s="244">
        <f>IF(ISNUMBER('Resol  Asuntos'!D9/NºAsuntos!G9),'Resol  Asuntos'!D9/NºAsuntos!G9," - ")</f>
        <v>0.26275115919629055</v>
      </c>
      <c r="AO9" s="245">
        <f>IF(ISNUMBER((NºAsuntos!C9+NºAsuntos!E9)/NºAsuntos!G9),(NºAsuntos!C9+NºAsuntos!E9)/NºAsuntos!G9," - ")</f>
        <v>5.0407006697578565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193</v>
      </c>
      <c r="G10" s="333">
        <f>IF(ISNUMBER(Datos!I10),Datos!I10," - ")</f>
        <v>197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1</v>
      </c>
      <c r="Y10" s="334">
        <f t="shared" ref="Y10:Y12" si="0">SUM(W10:X10)</f>
        <v>15</v>
      </c>
      <c r="Z10" s="335" t="str">
        <f>IF(ISNUMBER(Datos!CC10),Datos!CC10," - ")</f>
        <v xml:space="preserve"> - </v>
      </c>
      <c r="AA10" s="332">
        <f>IF(ISNUMBER(Datos!L10),Datos!L10,"-")</f>
        <v>206</v>
      </c>
      <c r="AB10" s="334">
        <f>IF(ISNUMBER(Datos!R10),Datos!R10," - ")</f>
        <v>82</v>
      </c>
      <c r="AC10" s="334">
        <f t="shared" ref="AC10:AC12" si="1">IF(ISNUMBER(AA10+AB10),AA10+AB10," - ")</f>
        <v>288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0.51851851851851849</v>
      </c>
      <c r="AM10" s="260">
        <f>IF(ISNUMBER(((NºAsuntos!I10/NºAsuntos!G10)*11)/factor_trimestre),((NºAsuntos!I10/NºAsuntos!G10)*11)/factor_trimestre," - ")</f>
        <v>29.428571428571431</v>
      </c>
      <c r="AN10" s="244">
        <f>IF(ISNUMBER('Resol  Asuntos'!D10/NºAsuntos!G10),'Resol  Asuntos'!D10/NºAsuntos!G10," - ")</f>
        <v>0.42857142857142855</v>
      </c>
      <c r="AO10" s="245">
        <f>IF(ISNUMBER((NºAsuntos!C10+NºAsuntos!E10)/NºAsuntos!G10),(NºAsuntos!C10+NºAsuntos!E10)/NºAsuntos!G10," - ")</f>
        <v>16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193</v>
      </c>
      <c r="G13" s="866">
        <f t="shared" si="3"/>
        <v>197</v>
      </c>
      <c r="H13" s="865">
        <f t="shared" si="3"/>
        <v>0</v>
      </c>
      <c r="I13" s="867">
        <f t="shared" si="3"/>
        <v>0</v>
      </c>
      <c r="J13" s="867">
        <f t="shared" si="3"/>
        <v>0</v>
      </c>
      <c r="K13" s="867">
        <f t="shared" si="3"/>
        <v>0</v>
      </c>
      <c r="L13" s="867">
        <f t="shared" si="3"/>
        <v>358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338</v>
      </c>
      <c r="Y13" s="868">
        <f t="shared" si="4"/>
        <v>352</v>
      </c>
      <c r="Z13" s="868">
        <f t="shared" si="4"/>
        <v>0</v>
      </c>
      <c r="AA13" s="868">
        <f t="shared" si="4"/>
        <v>206</v>
      </c>
      <c r="AB13" s="868">
        <f t="shared" si="4"/>
        <v>6919</v>
      </c>
      <c r="AC13" s="868">
        <f t="shared" si="4"/>
        <v>288</v>
      </c>
      <c r="AD13" s="868">
        <f t="shared" si="4"/>
        <v>0</v>
      </c>
      <c r="AE13" s="872">
        <f t="shared" si="4"/>
        <v>0</v>
      </c>
      <c r="AF13" s="865">
        <f t="shared" si="4"/>
        <v>0</v>
      </c>
      <c r="AG13" s="873">
        <f t="shared" si="4"/>
        <v>0</v>
      </c>
      <c r="AH13" s="870">
        <f t="shared" si="4"/>
        <v>0</v>
      </c>
      <c r="AI13" s="865">
        <f t="shared" si="4"/>
        <v>516</v>
      </c>
      <c r="AJ13" s="867">
        <f t="shared" si="4"/>
        <v>0</v>
      </c>
      <c r="AK13" s="870">
        <f>SUBTOTAL(9,AK9:AK12)</f>
        <v>0</v>
      </c>
      <c r="AL13" s="874">
        <f>IF(ISNUMBER(NºAsuntos!G13/NºAsuntos!E13),NºAsuntos!G13/NºAsuntos!E13," - ")</f>
        <v>0.91956726246472253</v>
      </c>
      <c r="AM13" s="874">
        <f>IF(ISNUMBER(((NºAsuntos!I13/NºAsuntos!G13)*11)/factor_trimestre),((NºAsuntos!I13/NºAsuntos!G13)*11)/factor_trimestre," - ")</f>
        <v>8.2281329923273656</v>
      </c>
      <c r="AN13" s="875">
        <f>IF(ISNUMBER('Resol  Asuntos'!D13/NºAsuntos!G13),'Resol  Asuntos'!D13/NºAsuntos!G13," - ")</f>
        <v>0.2639386189258312</v>
      </c>
      <c r="AO13" s="876">
        <f>IF(ISNUMBER((NºAsuntos!C13+NºAsuntos!E13)/NºAsuntos!G13),(NºAsuntos!C13+NºAsuntos!E13)/NºAsuntos!G13," - ")</f>
        <v>5.1191815856777492</v>
      </c>
      <c r="AP13" s="877" t="str">
        <f t="shared" si="2"/>
        <v xml:space="preserve"> - </v>
      </c>
      <c r="AQ13" s="877">
        <f>IF(ISNUMBER((H13-W13+K13)/(F13)),(H13-W13+K13)/(F13)," - ")</f>
        <v>-7.2538860103626937E-2</v>
      </c>
      <c r="AR13" s="878">
        <f>IF(ISNUMBER((Datos!P13-Datos!Q13)/(Datos!R13-Datos!P13+Datos!Q13)),(Datos!P13-Datos!Q13)/(Datos!R13-Datos!P13+Datos!Q13)," - ")</f>
        <v>2.8989708653428033E-3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2619</v>
      </c>
      <c r="G15" s="333">
        <f>IF(ISNUMBER(IF(D_I="SI",Datos!I15,Datos!I15+Datos!AC15)),IF(D_I="SI",Datos!I15,Datos!I15+Datos!AC15)," - ")</f>
        <v>2582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2634</v>
      </c>
      <c r="X15" s="226">
        <f>IF(ISNUMBER(Datos!Q15),Datos!Q15," - ")</f>
        <v>49</v>
      </c>
      <c r="Y15" s="334">
        <f>SUM(W15)</f>
        <v>2634</v>
      </c>
      <c r="Z15" s="335" t="str">
        <f>IF(ISNUMBER(Datos!CC15),Datos!CC15," - ")</f>
        <v xml:space="preserve"> - </v>
      </c>
      <c r="AA15" s="332">
        <f>IF(ISNUMBER(IF(D_I="SI",Datos!L15,Datos!L15+Datos!AF15)),IF(D_I="SI",Datos!L15,Datos!L15+Datos!AF15)," - ")</f>
        <v>2777</v>
      </c>
      <c r="AB15" s="334">
        <f>IF(ISNUMBER(Datos!R15),Datos!R15," - ")</f>
        <v>187</v>
      </c>
      <c r="AC15" s="334">
        <f t="shared" ref="AC15:AC17" si="6">IF(ISNUMBER(AA15+AB15),AA15+AB15," - ")</f>
        <v>2964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229</v>
      </c>
      <c r="AJ15" s="231" t="str">
        <f>IF(ISNUMBER(Datos!BW15),Datos!BW15," - ")</f>
        <v xml:space="preserve"> - </v>
      </c>
      <c r="AK15" s="232" t="str">
        <f>IF(ISNUMBER(Datos!BX15),Datos!BX15," - ")</f>
        <v xml:space="preserve"> - </v>
      </c>
      <c r="AL15" s="243">
        <f>IF(ISNUMBER(NºAsuntos!G15/NºAsuntos!E15),NºAsuntos!G15/NºAsuntos!E15," - ")</f>
        <v>0.94340974212034379</v>
      </c>
      <c r="AM15" s="260">
        <f>IF(ISNUMBER(((NºAsuntos!I15/NºAsuntos!G15)*11)/factor_trimestre),((NºAsuntos!I15/NºAsuntos!G15)*11)/factor_trimestre," - ")</f>
        <v>2.1085801063022021</v>
      </c>
      <c r="AN15" s="244">
        <f>IF(ISNUMBER('Resol  Asuntos'!D15/NºAsuntos!G15),'Resol  Asuntos'!D15/NºAsuntos!G15," - ")</f>
        <v>8.6940015186028854E-2</v>
      </c>
      <c r="AO15" s="245">
        <f>IF(ISNUMBER((NºAsuntos!C15+NºAsuntos!E15)/NºAsuntos!G15),(NºAsuntos!C15+NºAsuntos!E15)/NºAsuntos!G15," - ")</f>
        <v>2.0402429764616552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223</v>
      </c>
      <c r="X17" s="226">
        <f>IF(ISNUMBER(Datos!Q17),Datos!Q17," - ")</f>
        <v>5</v>
      </c>
      <c r="Y17" s="334">
        <f t="shared" si="7"/>
        <v>228</v>
      </c>
      <c r="Z17" s="335" t="str">
        <f>IF(ISNUMBER(Datos!CC17),Datos!CC17," - ")</f>
        <v xml:space="preserve"> - </v>
      </c>
      <c r="AA17" s="332">
        <f>IF(ISNUMBER(Datos!L17),Datos!L17,"-")</f>
        <v>624</v>
      </c>
      <c r="AB17" s="334">
        <f>IF(ISNUMBER(Datos!R17),Datos!R17," - ")</f>
        <v>13</v>
      </c>
      <c r="AC17" s="334">
        <f t="shared" si="6"/>
        <v>637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0.71474358974358976</v>
      </c>
      <c r="AM17" s="260">
        <f>IF(ISNUMBER(((NºAsuntos!I17/NºAsuntos!G17)*11)/factor_trimestre),((NºAsuntos!I17/NºAsuntos!G17)*11)/factor_trimestre," - ")</f>
        <v>5.5964125560538118</v>
      </c>
      <c r="AN17" s="244">
        <f>IF(ISNUMBER('Resol  Asuntos'!D17/NºAsuntos!G17),'Resol  Asuntos'!D17/NºAsuntos!G17," - ")</f>
        <v>0.1210762331838565</v>
      </c>
      <c r="AO17" s="245">
        <f>IF(ISNUMBER((NºAsuntos!C17+NºAsuntos!E17)/NºAsuntos!G17),(NºAsuntos!C17+NºAsuntos!E17)/NºAsuntos!G17," - ")</f>
        <v>3.7130044843049328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2619</v>
      </c>
      <c r="G18" s="866">
        <f>SUBTOTAL(9,G15:G17)</f>
        <v>3098</v>
      </c>
      <c r="H18" s="865">
        <f t="shared" ref="H18:O18" si="10">SUBTOTAL(9,H14:H17)</f>
        <v>0</v>
      </c>
      <c r="I18" s="867">
        <f t="shared" si="10"/>
        <v>0</v>
      </c>
      <c r="J18" s="867">
        <f t="shared" si="10"/>
        <v>0</v>
      </c>
      <c r="K18" s="867">
        <f t="shared" si="10"/>
        <v>0</v>
      </c>
      <c r="L18" s="867">
        <f t="shared" si="10"/>
        <v>77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2857</v>
      </c>
      <c r="X18" s="867">
        <f t="shared" si="11"/>
        <v>54</v>
      </c>
      <c r="Y18" s="868">
        <f t="shared" si="11"/>
        <v>2862</v>
      </c>
      <c r="Z18" s="868">
        <f t="shared" si="11"/>
        <v>0</v>
      </c>
      <c r="AA18" s="868">
        <f t="shared" si="11"/>
        <v>3401</v>
      </c>
      <c r="AB18" s="868">
        <f t="shared" si="11"/>
        <v>200</v>
      </c>
      <c r="AC18" s="868">
        <f t="shared" si="11"/>
        <v>3601</v>
      </c>
      <c r="AD18" s="868">
        <f t="shared" si="11"/>
        <v>0</v>
      </c>
      <c r="AE18" s="872">
        <f t="shared" si="11"/>
        <v>0</v>
      </c>
      <c r="AF18" s="865">
        <f t="shared" si="11"/>
        <v>0</v>
      </c>
      <c r="AG18" s="873">
        <f t="shared" si="11"/>
        <v>0</v>
      </c>
      <c r="AH18" s="870">
        <f t="shared" si="11"/>
        <v>0</v>
      </c>
      <c r="AI18" s="865">
        <f t="shared" si="11"/>
        <v>256</v>
      </c>
      <c r="AJ18" s="867">
        <f t="shared" si="11"/>
        <v>0</v>
      </c>
      <c r="AK18" s="870">
        <f t="shared" si="11"/>
        <v>0</v>
      </c>
      <c r="AL18" s="874">
        <f>IF(ISNUMBER(NºAsuntos!G18/NºAsuntos!E18),NºAsuntos!G18/NºAsuntos!E18," - ")</f>
        <v>0.92042525773195871</v>
      </c>
      <c r="AM18" s="874">
        <f>IF(ISNUMBER(((NºAsuntos!I18/NºAsuntos!G18)*11)/factor_trimestre),((NºAsuntos!I18/NºAsuntos!G18)*11)/factor_trimestre," - ")</f>
        <v>2.3808190409520478</v>
      </c>
      <c r="AN18" s="875">
        <f>IF(ISNUMBER('Resol  Asuntos'!D18/NºAsuntos!G18),'Resol  Asuntos'!D18/NºAsuntos!G18," - ")</f>
        <v>8.9604480224011199E-2</v>
      </c>
      <c r="AO18" s="876">
        <f>IF(ISNUMBER((NºAsuntos!C18+NºAsuntos!E18)/NºAsuntos!G18),(NºAsuntos!C18+NºAsuntos!E18)/NºAsuntos!G18," - ")</f>
        <v>2.1708085404270214</v>
      </c>
      <c r="AP18" s="877" t="str">
        <f t="shared" si="2"/>
        <v xml:space="preserve"> - </v>
      </c>
      <c r="AQ18" s="877">
        <f>IF(ISNUMBER((H18-W18+K18)/(F18)),(H18-W18+K18)/(F18)," - ")</f>
        <v>-1.0908743795341733</v>
      </c>
      <c r="AR18" s="878">
        <f>IF(ISNUMBER((Datos!P18-Datos!Q18)/(Datos!R18-Datos!P18+Datos!Q18)),(Datos!P18-Datos!Q18)/(Datos!R18-Datos!P18+Datos!Q18)," - ")</f>
        <v>0.12994350282485875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2812</v>
      </c>
      <c r="G19" s="821">
        <f t="shared" si="13"/>
        <v>3295</v>
      </c>
      <c r="H19" s="820">
        <f t="shared" si="13"/>
        <v>0</v>
      </c>
      <c r="I19" s="822">
        <f t="shared" si="13"/>
        <v>0</v>
      </c>
      <c r="J19" s="822">
        <f t="shared" si="13"/>
        <v>0</v>
      </c>
      <c r="K19" s="881">
        <f t="shared" si="13"/>
        <v>0</v>
      </c>
      <c r="L19" s="822">
        <f t="shared" si="13"/>
        <v>435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2871</v>
      </c>
      <c r="X19" s="821">
        <f t="shared" si="14"/>
        <v>392</v>
      </c>
      <c r="Y19" s="828">
        <f t="shared" si="14"/>
        <v>3214</v>
      </c>
      <c r="Z19" s="828">
        <f t="shared" si="14"/>
        <v>0</v>
      </c>
      <c r="AA19" s="828">
        <f t="shared" si="14"/>
        <v>3607</v>
      </c>
      <c r="AB19" s="828">
        <f t="shared" si="14"/>
        <v>7119</v>
      </c>
      <c r="AC19" s="828">
        <f t="shared" si="14"/>
        <v>3889</v>
      </c>
      <c r="AD19" s="828">
        <f t="shared" si="14"/>
        <v>0</v>
      </c>
      <c r="AE19" s="830">
        <f t="shared" si="14"/>
        <v>0</v>
      </c>
      <c r="AF19" s="831">
        <f t="shared" si="14"/>
        <v>0</v>
      </c>
      <c r="AG19" s="832">
        <f t="shared" si="14"/>
        <v>0</v>
      </c>
      <c r="AH19" s="830">
        <f t="shared" si="14"/>
        <v>0</v>
      </c>
      <c r="AI19" s="820">
        <f t="shared" si="14"/>
        <v>772</v>
      </c>
      <c r="AJ19" s="820">
        <f t="shared" si="14"/>
        <v>0</v>
      </c>
      <c r="AK19" s="830">
        <f t="shared" si="14"/>
        <v>0</v>
      </c>
      <c r="AL19" s="884">
        <f>IF(ISNUMBER(NºAsuntos!G19/NºAsuntos!E19),NºAsuntos!G19/NºAsuntos!E19," - ")</f>
        <v>0.92007648183556401</v>
      </c>
      <c r="AM19" s="885">
        <f>IF(ISNUMBER(((NºAsuntos!I19/NºAsuntos!G19)*11)/factor_trimestre),((NºAsuntos!I19/NºAsuntos!G19)*11)/factor_trimestre," - ")</f>
        <v>4.7564422277639231</v>
      </c>
      <c r="AN19" s="885">
        <f>IF(ISNUMBER('Resol  Asuntos'!D19/NºAsuntos!G19),'Resol  Asuntos'!D19/NºAsuntos!G19," - ")</f>
        <v>0.16043225270157938</v>
      </c>
      <c r="AO19" s="886">
        <f>IF(ISNUMBER((NºAsuntos!C19+NºAsuntos!E19)/NºAsuntos!G19),(NºAsuntos!C19+NºAsuntos!E19)/NºAsuntos!G19," - ")</f>
        <v>3.3686616791354944</v>
      </c>
      <c r="AP19" s="887" t="str">
        <f t="shared" si="2"/>
        <v xml:space="preserve"> - </v>
      </c>
      <c r="AQ19" s="888">
        <f>IF(OR(ISNUMBER(FIND("01",Criterios!A8,1)),ISNUMBER(FIND("02",Criterios!A8,1)),ISNUMBER(FIND("03",Criterios!A8,1)),ISNUMBER(FIND("04",Criterios!A8,1))),(I19-W19+K19)/(F19-K19),(H19-W19+K19)/(F19-K19))</f>
        <v>-1.0209815078236131</v>
      </c>
      <c r="AR19" s="889">
        <f>IF(ISNUMBER((Datos!P19-Datos!Q19)/(Datos!R19-Datos!P19+Datos!Q19)),(Datos!P19-Datos!Q19)/(Datos!R19-Datos!P19+Datos!Q19)," - ")</f>
        <v>6.0768795929903897E-3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1318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1400.651753054032</v>
      </c>
      <c r="G21" s="253">
        <f>IF(ISNUMBER(STDEV(G8:G18)),STDEV(G8:G18),"-")</f>
        <v>1407.3540776933146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1462.567365969855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222.60967334477328</v>
      </c>
      <c r="AJ21" s="252">
        <f t="shared" si="18"/>
        <v>0</v>
      </c>
      <c r="AK21" s="254">
        <f t="shared" si="18"/>
        <v>0</v>
      </c>
      <c r="AL21" s="249">
        <f t="shared" si="18"/>
        <v>0.17209887936918103</v>
      </c>
      <c r="AM21" s="250">
        <f t="shared" si="18"/>
        <v>10.208981026519554</v>
      </c>
      <c r="AN21" s="250">
        <f t="shared" si="18"/>
        <v>0.13490986744567057</v>
      </c>
      <c r="AO21" s="251">
        <f t="shared" si="18"/>
        <v>5.2279431058804491</v>
      </c>
      <c r="AP21" s="291" t="str">
        <f t="shared" si="18"/>
        <v>-</v>
      </c>
      <c r="AQ21" s="292">
        <f t="shared" si="18"/>
        <v>0.7200719513124646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WT9y7o5wug5r4QeM6JrOqDn8ZLqEIUu5y2jawJZh7t9hc7MkL9j3+6GdGMbvUDcb1IJnyf4XK3UWlX9X1H/ZRg==" saltValue="luwOYNsrXmumgT2n8eXN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TORREMOLINOS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0.51335311572700293</v>
      </c>
      <c r="I9" s="350">
        <f>IF(ISNUMBER((Tasas!C9-Datos!BE9)/Datos!BE9),(Tasas!C9-Datos!BE9)/Datos!BE9," - ")</f>
        <v>-3.6493015049867204E-2</v>
      </c>
      <c r="J9" s="349">
        <f>IF(ISNUMBER((Tasas!D9-Datos!BF9)/Datos!BF9),(Tasas!D9-Datos!BF9)/Datos!BF9," - ")</f>
        <v>-0.3713292117465225</v>
      </c>
      <c r="K9" s="351">
        <f>IF(ISNUMBER((Tasas!E9-Datos!BG9)/Datos!BG9),(Tasas!E9-Datos!BG9)/Datos!BG9," - ")</f>
        <v>-2.8866786300055413E-2</v>
      </c>
      <c r="M9" t="e">
        <f>IF(Monitorios="SI",Datos!CE9,0)</f>
        <v>#REF!</v>
      </c>
      <c r="N9" t="e">
        <f>IF(Monitorios="SI",Datos!CF9,0)</f>
        <v>#REF!</v>
      </c>
      <c r="O9" t="e">
        <f>IF(Monitorios="SI",Datos!CG9,0)</f>
        <v>#REF!</v>
      </c>
      <c r="P9" t="e">
        <f>IF(Monitorios="SI",Datos!CH9,0)</f>
        <v>#REF!</v>
      </c>
      <c r="Q9">
        <f>IF(J_V="SI",0,Datos!AG9)</f>
        <v>137</v>
      </c>
      <c r="R9">
        <f>IF(J_V="SI",0,Datos!AH9)</f>
        <v>117</v>
      </c>
      <c r="S9">
        <f>IF(J_V="SI",0,Datos!AI9)</f>
        <v>117</v>
      </c>
      <c r="T9">
        <f>IF(J_V="SI",0,Datos!AJ9)</f>
        <v>137</v>
      </c>
    </row>
    <row r="10" spans="2:20" ht="14.25">
      <c r="B10" s="275" t="s">
        <v>246</v>
      </c>
      <c r="C10" s="7" t="str">
        <f>Datos!A10</f>
        <v>Jdos. Violencia contra la mujer</v>
      </c>
      <c r="D10" s="352">
        <f>IF(ISNUMBER((Datos!I10-Datos!S10)/Datos!S10),(Datos!I10-Datos!S10)/Datos!S10," - ")</f>
        <v>0.36805555555555558</v>
      </c>
      <c r="E10" s="348">
        <f>IF(ISNUMBER((Datos!J10-Datos!T10)/Datos!T10),(Datos!J10-Datos!T10)/Datos!T10," - ")</f>
        <v>0.08</v>
      </c>
      <c r="F10" s="348">
        <f>IF(ISNUMBER((Datos!K10-Datos!U10)/Datos!U10),(Datos!K10-Datos!U10)/Datos!U10," - ")</f>
        <v>0</v>
      </c>
      <c r="G10" s="349">
        <f>IF(ISNUMBER((Datos!L10-Datos!V10)/Datos!V10),(Datos!L10-Datos!V10)/Datos!V10," - ")</f>
        <v>0.32903225806451614</v>
      </c>
      <c r="H10" s="230">
        <f>IF(ISNUMBER((Datos!M10-Datos!W10)/Datos!W10),(Datos!M10-Datos!W10)/Datos!W10," - ")</f>
        <v>0</v>
      </c>
      <c r="I10" s="350">
        <f>IF(ISNUMBER((Tasas!C10-Datos!BE10)/Datos!BE10),(Tasas!C10-Datos!BE10)/Datos!BE10," - ")</f>
        <v>0.32903225806451608</v>
      </c>
      <c r="J10" s="349">
        <f>IF(ISNUMBER((Tasas!D10-Datos!BF10)/Datos!BF10),(Tasas!D10-Datos!BF10)/Datos!BF10," - ")</f>
        <v>0</v>
      </c>
      <c r="K10" s="351">
        <f>IF(ISNUMBER((Tasas!E10-Datos!BG10)/Datos!BG10),(Tasas!E10-Datos!BG10)/Datos!BG10," - ")</f>
        <v>0.32544378698224857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0.50437317784256563</v>
      </c>
      <c r="I13" s="357">
        <f>IF(ISNUMBER((Tasas!C13-Datos!BE13)/Datos!BE13),(Tasas!C13-Datos!BE13)/Datos!BE13," - ")</f>
        <v>-3.1810824579864616E-2</v>
      </c>
      <c r="J13" s="355">
        <f>IF(ISNUMBER((Tasas!D13-Datos!BF13)/Datos!BF13),(Tasas!D13-Datos!BF13)/Datos!BF13," - ")</f>
        <v>-0.36862496551415597</v>
      </c>
      <c r="K13" s="358">
        <f>IF(ISNUMBER((Tasas!E13-Datos!BG13)/Datos!BG13),(Tasas!E13-Datos!BG13)/Datos!BG13," - ")</f>
        <v>-2.4776296482796969E-2</v>
      </c>
      <c r="M13" t="e">
        <f>IF(Monitorios="SI",Datos!CE13,0)</f>
        <v>#REF!</v>
      </c>
      <c r="N13" t="e">
        <f>IF(Monitorios="SI",Datos!CF13,0)</f>
        <v>#REF!</v>
      </c>
      <c r="O13" t="e">
        <f>IF(Monitorios="SI",Datos!CG13,0)</f>
        <v>#REF!</v>
      </c>
      <c r="P13" t="e">
        <f>IF(Monitorios="SI",Datos!CH13,0)</f>
        <v>#REF!</v>
      </c>
      <c r="Q13">
        <f>IF(J_V="SI",0,Datos!AG13)</f>
        <v>137</v>
      </c>
      <c r="R13">
        <f>IF(J_V="SI",0,Datos!AH13)</f>
        <v>117</v>
      </c>
      <c r="S13">
        <f>IF(J_V="SI",0,Datos!AI13)</f>
        <v>117</v>
      </c>
      <c r="T13">
        <f>IF(J_V="SI",0,Datos!AJ13)</f>
        <v>137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0.38445040214477211</v>
      </c>
      <c r="E15" s="348">
        <f>IF(ISNUMBER(
   IF(D_I="SI",(Datos!J15-Datos!T15)/Datos!T15,(Datos!J15+Datos!AD15-(Datos!T15+Datos!AL15))/(Datos!T15+Datos!AL15))
     ),IF(D_I="SI",(Datos!J15-Datos!T15)/Datos!T15,(Datos!J15+Datos!AD15-(Datos!T15+Datos!AL15))/(Datos!T15+Datos!AL15))," - ")</f>
        <v>-0.35385327470492939</v>
      </c>
      <c r="F15" s="348">
        <f>IF(ISNUMBER(
   IF(D_I="SI",(Datos!K15-Datos!U15)/Datos!U15,(Datos!K15+Datos!AE15-(Datos!U15+Datos!AM15))/(Datos!U15+Datos!AM15))
     ),IF(D_I="SI",(Datos!K15-Datos!U15)/Datos!U15,(Datos!K15+Datos!AE15-(Datos!U15+Datos!AM15))/(Datos!U15+Datos!AM15))," - ")</f>
        <v>-0.31902792140641156</v>
      </c>
      <c r="G15" s="349">
        <f>IF(ISNUMBER(
   IF(D_I="SI",(Datos!L15-Datos!V15)/Datos!V15,(Datos!L15+Datos!AF15-(Datos!V15+Datos!AN15))/(Datos!V15+Datos!AN15))
     ),IF(D_I="SI",(Datos!L15-Datos!V15)/Datos!V15,(Datos!L15+Datos!AF15-(Datos!V15+Datos!AN15))/(Datos!V15+Datos!AN15))," - ")</f>
        <v>0.19133419133419133</v>
      </c>
      <c r="H15" s="230">
        <f>IF(ISNUMBER((Datos!M15-Datos!W15)/Datos!W15),(Datos!M15-Datos!W15)/Datos!W15," - ")</f>
        <v>-9.8425196850393706E-2</v>
      </c>
      <c r="I15" s="350">
        <f>IF(ISNUMBER((Tasas!C15-Datos!BE15)/Datos!BE15),(Tasas!C15-Datos!BE15)/Datos!BE15," - ")</f>
        <v>0.74946114353859228</v>
      </c>
      <c r="J15" s="349">
        <f>IF(ISNUMBER((Tasas!D15-Datos!BF15)/Datos!BF15),(Tasas!D15-Datos!BF15)/Datos!BF15," - ")</f>
        <v>0.32395267220299051</v>
      </c>
      <c r="K15" s="351">
        <f>IF(ISNUMBER((Tasas!E15-Datos!BG15)/Datos!BG15),(Tasas!E15-Datos!BG15)/Datos!BG15," - ")</f>
        <v>0.27572903862814141</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0.47008547008547008</v>
      </c>
      <c r="E17" s="348">
        <f>IF(ISNUMBER(
   IF(D_I="SI",(Datos!J17-Datos!T17)/Datos!T17,(Datos!J17+Datos!AD17-(Datos!T17+Datos!AL17))/(Datos!T17+Datos!AL17))
     ),IF(D_I="SI",(Datos!J17-Datos!T17)/Datos!T17,(Datos!J17+Datos!AD17-(Datos!T17+Datos!AL17))/(Datos!T17+Datos!AL17))," - ")</f>
        <v>2.6315789473684209E-2</v>
      </c>
      <c r="F17" s="348">
        <f>IF(ISNUMBER(
   IF(D_I="SI",(Datos!K17-Datos!U17)/Datos!U17,(Datos!K17+Datos!AE17-(Datos!U17+Datos!AM17))/(Datos!U17+Datos!AM17))
     ),IF(D_I="SI",(Datos!K17-Datos!U17)/Datos!U17,(Datos!K17+Datos!AE17-(Datos!U17+Datos!AM17))/(Datos!U17+Datos!AM17))," - ")</f>
        <v>-0.16479400749063669</v>
      </c>
      <c r="G17" s="349">
        <f>IF(ISNUMBER(
   IF(D_I="SI",(Datos!L17-Datos!V17)/Datos!V17,(Datos!L17+Datos!AF17-(Datos!V17+Datos!AN17))/(Datos!V17+Datos!AN17))
     ),IF(D_I="SI",(Datos!L17-Datos!V17)/Datos!V17,(Datos!L17+Datos!AF17-(Datos!V17+Datos!AN17))/(Datos!V17+Datos!AN17))," - ")</f>
        <v>0.59590792838874684</v>
      </c>
      <c r="H17" s="230">
        <f>IF(ISNUMBER((Datos!M17-Datos!W17)/Datos!W17),(Datos!M17-Datos!W17)/Datos!W17," - ")</f>
        <v>-6.8965517241379309E-2</v>
      </c>
      <c r="I17" s="350">
        <f>IF(ISNUMBER((Tasas!C17-Datos!BE17)/Datos!BE17),(Tasas!C17-Datos!BE17)/Datos!BE17," - ")</f>
        <v>0.91079559138921706</v>
      </c>
      <c r="J17" s="349">
        <f>IF(ISNUMBER((Tasas!D17-Datos!BF17)/Datos!BF17),(Tasas!D17-Datos!BF17)/Datos!BF17," - ")</f>
        <v>0.11473635379619608</v>
      </c>
      <c r="K17" s="351">
        <f>IF(ISNUMBER((Tasas!E17-Datos!BG17)/Datos!BG17),(Tasas!E17-Datos!BG17)/Datos!BG17," - ")</f>
        <v>0.51354533940369018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0.39801444043321299</v>
      </c>
      <c r="E18" s="354">
        <f>IF(ISNUMBER(
   IF(D_I="SI",(Datos!J18-Datos!T18)/Datos!T18,(Datos!J18+Datos!AD18-(Datos!T18+Datos!AL18))/(Datos!T18+Datos!AL18))
     ),IF(D_I="SI",(Datos!J18-Datos!T18)/Datos!T18,(Datos!J18+Datos!AD18-(Datos!T18+Datos!AL18))/(Datos!T18+Datos!AL18))," - ")</f>
        <v>-0.32886486486486488</v>
      </c>
      <c r="F18" s="354">
        <f>IF(ISNUMBER(
   IF(D_I="SI",(Datos!K18-Datos!U18)/Datos!U18,(Datos!K18+Datos!AE18-(Datos!U18+Datos!AM18))/(Datos!U18+Datos!AM18))
     ),IF(D_I="SI",(Datos!K18-Datos!U18)/Datos!U18,(Datos!K18+Datos!AE18-(Datos!U18+Datos!AM18))/(Datos!U18+Datos!AM18))," - ")</f>
        <v>-0.3090689238210399</v>
      </c>
      <c r="G18" s="355">
        <f>IF(ISNUMBER(
   IF(D_I="SI",(Datos!L18-Datos!V18)/Datos!V18,(Datos!L18+Datos!AF18-(Datos!V18+Datos!AN18))/(Datos!V18+Datos!AN18))
     ),IF(D_I="SI",(Datos!L18-Datos!V18)/Datos!V18,(Datos!L18+Datos!AF18-(Datos!V18+Datos!AN18))/(Datos!V18+Datos!AN18))," - ")</f>
        <v>0.24944893460690667</v>
      </c>
      <c r="H18" s="356">
        <f>IF(ISNUMBER((Datos!M18-Datos!W18)/Datos!W18),(Datos!M18-Datos!W18)/Datos!W18," - ")</f>
        <v>-9.5406360424028266E-2</v>
      </c>
      <c r="I18" s="357">
        <f>IF(ISNUMBER((Tasas!C18-Datos!BE18)/Datos!BE18),(Tasas!C18-Datos!BE18)/Datos!BE18," - ")</f>
        <v>0.80835538837926468</v>
      </c>
      <c r="J18" s="355">
        <f>IF(ISNUMBER((Tasas!D18-Datos!BF18)/Datos!BF18),(Tasas!D18-Datos!BF18)/Datos!BF18," - ")</f>
        <v>0.30923860680666537</v>
      </c>
      <c r="K18" s="358">
        <f>IF(ISNUMBER((Tasas!E18-Datos!BG18)/Datos!BG18),(Tasas!E18-Datos!BG18)/Datos!BG18," - ")</f>
        <v>0.31213175188798914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0.21111846459298478</v>
      </c>
      <c r="E19" s="363">
        <f>IF(ISNUMBER(
   IF(J_V="SI",(Datos!J19-Datos!T19)/Datos!T19,(Datos!J19+Datos!Z19-(Datos!T19+Datos!AH19))/(Datos!T19+Datos!AH19))
     ),IF(J_V="SI",(Datos!J19-Datos!T19)/Datos!T19,(Datos!J19+Datos!Z19-(Datos!T19+Datos!AH19))/(Datos!T19+Datos!AH19))," - ")</f>
        <v>-0.18140554077320395</v>
      </c>
      <c r="F19" s="363">
        <f>IF(ISNUMBER(
   IF(J_V="SI",(Datos!K19-Datos!U19)/Datos!U19,(Datos!K19+Datos!AA19-(Datos!U19+Datos!AI19))/(Datos!U19+Datos!AI19))
     ),IF(J_V="SI",(Datos!K19-Datos!U19)/Datos!U19,(Datos!K19+Datos!AA19-(Datos!U19+Datos!AI19))/(Datos!U19+Datos!AI19))," - ")</f>
        <v>-0.16689750692520774</v>
      </c>
      <c r="G19" s="364">
        <f>IF(ISNUMBER(
   IF(J_V="SI",(Datos!L19-Datos!V19)/Datos!V19,(Datos!L19+Datos!AB19-(Datos!V19+Datos!AJ19))/(Datos!V19+Datos!AJ19))
     ),IF(J_V="SI",(Datos!L19-Datos!V19)/Datos!V19,(Datos!L19+Datos!AB19-(Datos!V19+Datos!AJ19))/(Datos!V19+Datos!AJ19))," - ")</f>
        <v>0.18040226921093347</v>
      </c>
      <c r="H19" s="365">
        <f>IF(ISNUMBER((Datos!M19-Datos!W19)/Datos!W19),(Datos!M19-Datos!W19)/Datos!W19," - ")</f>
        <v>0.23322683706070288</v>
      </c>
      <c r="I19" s="362">
        <f>IF(ISNUMBER((Tasas!C19-Datos!BE19)/Datos!BE19),(Tasas!C19-Datos!BE19)/Datos!BE19," - ")</f>
        <v>0.41687520926067156</v>
      </c>
      <c r="J19" s="363">
        <f>IF(ISNUMBER((Tasas!D19-Datos!BF19)/Datos!BF19),(Tasas!D19-Datos!BF19)/Datos!BF19," - ")</f>
        <v>-4.3697944680781732E-2</v>
      </c>
      <c r="K19" s="364">
        <f>IF(ISNUMBER((Tasas!E19-Datos!BG19)/Datos!BG19),(Tasas!E19-Datos!BG19)/Datos!BG19," - ")</f>
        <v>0.25897055054588264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4.4988897285712891E-2</v>
      </c>
      <c r="E21" s="278">
        <f t="shared" si="1"/>
        <v>0.22905373666349682</v>
      </c>
      <c r="F21" s="278">
        <f t="shared" si="1"/>
        <v>0.14976704480916475</v>
      </c>
      <c r="G21" s="279">
        <f t="shared" si="1"/>
        <v>0.17879409778595004</v>
      </c>
      <c r="H21" s="285">
        <f t="shared" si="1"/>
        <v>0.29882553612753526</v>
      </c>
      <c r="I21" s="277">
        <f t="shared" si="1"/>
        <v>0.42748917623232485</v>
      </c>
      <c r="J21" s="278">
        <f t="shared" si="1"/>
        <v>0.31224907793213719</v>
      </c>
      <c r="K21" s="279">
        <f t="shared" si="1"/>
        <v>0.21459707767261829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ux07ZN0rGpwFFtEC/tvhaMlHjhTrl/XdrpzbKNQuoIRa3UmgXeDLS/M0yJSYyv8raq3GKsnVX6v9+qRJ1QiuA==" saltValue="tWD5QmAmBJFMymeaVUDE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